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eepsakes\New Home - 9202\"/>
    </mc:Choice>
  </mc:AlternateContent>
  <bookViews>
    <workbookView xWindow="0" yWindow="600" windowWidth="288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C93" i="1"/>
  <c r="E92" i="1"/>
  <c r="K91" i="1"/>
  <c r="K92" i="1" s="1"/>
  <c r="E91" i="1"/>
  <c r="K90" i="1"/>
  <c r="C89" i="1"/>
  <c r="C88" i="1"/>
  <c r="K85" i="1"/>
  <c r="C84" i="1"/>
  <c r="F80" i="1"/>
  <c r="F79" i="1"/>
  <c r="F78" i="1"/>
  <c r="G77" i="1"/>
  <c r="F77" i="1"/>
  <c r="F76" i="1"/>
  <c r="G72" i="1"/>
  <c r="I70" i="1"/>
  <c r="J70" i="1" s="1"/>
  <c r="F70" i="1"/>
  <c r="J68" i="1"/>
  <c r="F68" i="1"/>
  <c r="J67" i="1"/>
  <c r="I67" i="1"/>
  <c r="F67" i="1"/>
  <c r="I66" i="1"/>
  <c r="J66" i="1" s="1"/>
  <c r="F66" i="1"/>
  <c r="J65" i="1"/>
  <c r="I65" i="1"/>
  <c r="F65" i="1"/>
  <c r="J64" i="1"/>
  <c r="J63" i="1" s="1"/>
  <c r="I64" i="1"/>
  <c r="I63" i="1" s="1"/>
  <c r="F64" i="1"/>
  <c r="F63" i="1"/>
  <c r="C63" i="1"/>
  <c r="J62" i="1"/>
  <c r="J61" i="1"/>
  <c r="F61" i="1"/>
  <c r="I60" i="1"/>
  <c r="J60" i="1" s="1"/>
  <c r="F60" i="1"/>
  <c r="I59" i="1"/>
  <c r="J59" i="1" s="1"/>
  <c r="F59" i="1"/>
  <c r="I58" i="1"/>
  <c r="J58" i="1" s="1"/>
  <c r="F58" i="1"/>
  <c r="I57" i="1"/>
  <c r="J57" i="1" s="1"/>
  <c r="F57" i="1"/>
  <c r="J56" i="1"/>
  <c r="F56" i="1"/>
  <c r="I55" i="1"/>
  <c r="J55" i="1" s="1"/>
  <c r="F55" i="1"/>
  <c r="J54" i="1"/>
  <c r="H54" i="1"/>
  <c r="F54" i="1"/>
  <c r="I53" i="1"/>
  <c r="J53" i="1" s="1"/>
  <c r="F53" i="1"/>
  <c r="J52" i="1"/>
  <c r="I52" i="1"/>
  <c r="F52" i="1"/>
  <c r="I51" i="1"/>
  <c r="J51" i="1" s="1"/>
  <c r="F51" i="1"/>
  <c r="C51" i="1"/>
  <c r="I50" i="1"/>
  <c r="J50" i="1" s="1"/>
  <c r="F50" i="1"/>
  <c r="I49" i="1"/>
  <c r="J49" i="1" s="1"/>
  <c r="F49" i="1"/>
  <c r="I48" i="1"/>
  <c r="J48" i="1" s="1"/>
  <c r="F48" i="1"/>
  <c r="I47" i="1"/>
  <c r="J47" i="1" s="1"/>
  <c r="F47" i="1"/>
  <c r="J46" i="1"/>
  <c r="I46" i="1"/>
  <c r="F46" i="1"/>
  <c r="C45" i="1"/>
  <c r="F45" i="1" s="1"/>
  <c r="J43" i="1"/>
  <c r="F43" i="1"/>
  <c r="J42" i="1"/>
  <c r="F42" i="1"/>
  <c r="J41" i="1"/>
  <c r="H41" i="1"/>
  <c r="H75" i="1" s="1"/>
  <c r="F41" i="1"/>
  <c r="J40" i="1"/>
  <c r="I40" i="1"/>
  <c r="I95" i="1" s="1"/>
  <c r="I97" i="1" s="1"/>
  <c r="I98" i="1" s="1"/>
  <c r="F40" i="1"/>
  <c r="J39" i="1"/>
  <c r="I39" i="1"/>
  <c r="F39" i="1"/>
  <c r="J38" i="1"/>
  <c r="I38" i="1"/>
  <c r="F38" i="1"/>
  <c r="I37" i="1"/>
  <c r="C37" i="1"/>
  <c r="F37" i="1" s="1"/>
  <c r="J36" i="1"/>
  <c r="J35" i="1"/>
  <c r="F35" i="1"/>
  <c r="J34" i="1"/>
  <c r="I34" i="1"/>
  <c r="F34" i="1"/>
  <c r="J33" i="1"/>
  <c r="I33" i="1"/>
  <c r="F33" i="1"/>
  <c r="J32" i="1"/>
  <c r="I32" i="1"/>
  <c r="F32" i="1"/>
  <c r="C32" i="1"/>
  <c r="J31" i="1"/>
  <c r="I31" i="1"/>
  <c r="F31" i="1"/>
  <c r="I30" i="1"/>
  <c r="J30" i="1" s="1"/>
  <c r="F30" i="1"/>
  <c r="J29" i="1"/>
  <c r="I29" i="1"/>
  <c r="F29" i="1"/>
  <c r="C29" i="1"/>
  <c r="C28" i="1" s="1"/>
  <c r="I28" i="1"/>
  <c r="J27" i="1"/>
  <c r="J26" i="1"/>
  <c r="F26" i="1"/>
  <c r="J25" i="1"/>
  <c r="F25" i="1"/>
  <c r="J24" i="1"/>
  <c r="F24" i="1"/>
  <c r="J23" i="1"/>
  <c r="F23" i="1"/>
  <c r="J22" i="1"/>
  <c r="F22" i="1"/>
  <c r="J21" i="1"/>
  <c r="I21" i="1"/>
  <c r="F21" i="1"/>
  <c r="J20" i="1"/>
  <c r="I20" i="1"/>
  <c r="F20" i="1"/>
  <c r="I19" i="1"/>
  <c r="C19" i="1"/>
  <c r="J18" i="1"/>
  <c r="J17" i="1"/>
  <c r="I17" i="1"/>
  <c r="F17" i="1"/>
  <c r="J16" i="1"/>
  <c r="I16" i="1"/>
  <c r="J15" i="1"/>
  <c r="I15" i="1"/>
  <c r="I14" i="1"/>
  <c r="C14" i="1"/>
  <c r="J14" i="1" s="1"/>
  <c r="J13" i="1"/>
  <c r="I13" i="1"/>
  <c r="F13" i="1"/>
  <c r="E13" i="1"/>
  <c r="I12" i="1"/>
  <c r="C12" i="1"/>
  <c r="C10" i="1" s="1"/>
  <c r="J11" i="1"/>
  <c r="I11" i="1"/>
  <c r="I10" i="1" s="1"/>
  <c r="J10" i="1" s="1"/>
  <c r="F11" i="1"/>
  <c r="J9" i="1"/>
  <c r="J8" i="1"/>
  <c r="I8" i="1"/>
  <c r="F8" i="1"/>
  <c r="J7" i="1"/>
  <c r="I7" i="1"/>
  <c r="G7" i="1"/>
  <c r="F7" i="1"/>
  <c r="I6" i="1"/>
  <c r="C6" i="1"/>
  <c r="J6" i="1" s="1"/>
  <c r="J5" i="1"/>
  <c r="I5" i="1"/>
  <c r="F5" i="1"/>
  <c r="G4" i="1"/>
  <c r="J4" i="1" s="1"/>
  <c r="F4" i="1"/>
  <c r="C3" i="1"/>
  <c r="K3" i="1" l="1"/>
  <c r="J3" i="1"/>
  <c r="J45" i="1"/>
  <c r="F28" i="1"/>
  <c r="E28" i="1"/>
  <c r="E10" i="1"/>
  <c r="F10" i="1"/>
  <c r="E51" i="1"/>
  <c r="C72" i="1"/>
  <c r="K45" i="1"/>
  <c r="E19" i="1"/>
  <c r="J28" i="1"/>
  <c r="K46" i="1"/>
  <c r="J19" i="1"/>
  <c r="J37" i="1"/>
  <c r="E3" i="1"/>
  <c r="I4" i="1"/>
  <c r="I3" i="1" s="1"/>
  <c r="F6" i="1"/>
  <c r="F12" i="1"/>
  <c r="F3" i="1"/>
  <c r="I45" i="1"/>
  <c r="I75" i="1" s="1"/>
  <c r="I85" i="1" s="1"/>
  <c r="J12" i="1"/>
  <c r="F19" i="1"/>
  <c r="E67" i="1" l="1"/>
  <c r="E65" i="1"/>
  <c r="E56" i="1"/>
  <c r="E54" i="1"/>
  <c r="E52" i="1"/>
  <c r="E31" i="1"/>
  <c r="E29" i="1"/>
  <c r="E24" i="1"/>
  <c r="E17" i="1"/>
  <c r="E39" i="1"/>
  <c r="E26" i="1"/>
  <c r="E21" i="1"/>
  <c r="E34" i="1"/>
  <c r="E70" i="1"/>
  <c r="E60" i="1"/>
  <c r="E58" i="1"/>
  <c r="E50" i="1"/>
  <c r="E48" i="1"/>
  <c r="E4" i="1"/>
  <c r="C74" i="1"/>
  <c r="E46" i="1"/>
  <c r="E41" i="1"/>
  <c r="E43" i="1"/>
  <c r="C81" i="1"/>
  <c r="F72" i="1"/>
  <c r="E68" i="1"/>
  <c r="E66" i="1"/>
  <c r="E64" i="1"/>
  <c r="E55" i="1"/>
  <c r="E53" i="1"/>
  <c r="E30" i="1"/>
  <c r="E11" i="1"/>
  <c r="E5" i="1"/>
  <c r="E33" i="1"/>
  <c r="E23" i="1"/>
  <c r="E61" i="1"/>
  <c r="E59" i="1"/>
  <c r="E57" i="1"/>
  <c r="E49" i="1"/>
  <c r="E47" i="1"/>
  <c r="E25" i="1"/>
  <c r="E12" i="1"/>
  <c r="E6" i="1"/>
  <c r="E32" i="1"/>
  <c r="E7" i="1"/>
  <c r="E42" i="1"/>
  <c r="E40" i="1"/>
  <c r="E38" i="1"/>
  <c r="E22" i="1"/>
  <c r="E20" i="1"/>
  <c r="E8" i="1"/>
  <c r="E45" i="1"/>
  <c r="E35" i="1"/>
  <c r="E37" i="1"/>
  <c r="E63" i="1"/>
  <c r="E79" i="1" l="1"/>
  <c r="F81" i="1"/>
  <c r="C91" i="1"/>
  <c r="C83" i="1"/>
  <c r="E78" i="1"/>
  <c r="C87" i="1"/>
  <c r="E77" i="1"/>
  <c r="C92" i="1"/>
  <c r="E80" i="1"/>
  <c r="E76" i="1"/>
  <c r="E81" i="1" l="1"/>
</calcChain>
</file>

<file path=xl/sharedStrings.xml><?xml version="1.0" encoding="utf-8"?>
<sst xmlns="http://schemas.openxmlformats.org/spreadsheetml/2006/main" count="147" uniqueCount="122">
  <si>
    <t>9202 Pearl Drive House - 1947</t>
  </si>
  <si>
    <t>6th Payment Request</t>
  </si>
  <si>
    <t>Total Amount Paid</t>
  </si>
  <si>
    <t>Variance</t>
  </si>
  <si>
    <t xml:space="preserve"> </t>
  </si>
  <si>
    <t>Quote</t>
  </si>
  <si>
    <t>% of Construction Cost</t>
  </si>
  <si>
    <t>Price Per Sq. Ft.</t>
  </si>
  <si>
    <t>Paid</t>
  </si>
  <si>
    <t>I. Site Work</t>
  </si>
  <si>
    <t>Building Permit Fees(.80-2444, .15-1600, .15-800)</t>
  </si>
  <si>
    <t>Temp Electric Pole/Dumpster</t>
  </si>
  <si>
    <t>Wolfe Electric</t>
  </si>
  <si>
    <t>Water &amp; Sewer Fees,Well &amp; Septic</t>
  </si>
  <si>
    <t>Dvorak &amp; Zakrewski</t>
  </si>
  <si>
    <t>Architecture, Engineering</t>
  </si>
  <si>
    <t>JS Architect</t>
  </si>
  <si>
    <t>Other - Survey</t>
  </si>
  <si>
    <t>TD2</t>
  </si>
  <si>
    <t>II. Foundation</t>
  </si>
  <si>
    <t>Excavation, cut and backfill</t>
  </si>
  <si>
    <t>Lynch</t>
  </si>
  <si>
    <t>Foundation - footing and walls</t>
  </si>
  <si>
    <t>Waterproofing, drain tile, sump</t>
  </si>
  <si>
    <t>Crushed rock to fill garage and stoop</t>
  </si>
  <si>
    <t>Radon System</t>
  </si>
  <si>
    <t>Dirt for front yard infill</t>
  </si>
  <si>
    <t>Termite</t>
  </si>
  <si>
    <t>III Framing</t>
  </si>
  <si>
    <t>Framing including roof (2 x 6)</t>
  </si>
  <si>
    <t>SCS Components</t>
  </si>
  <si>
    <t>Installation (includes soffits, deck, windows)</t>
  </si>
  <si>
    <t>LP Construction</t>
  </si>
  <si>
    <t>Trusses</t>
  </si>
  <si>
    <t>Sheathing</t>
  </si>
  <si>
    <t>General metal, Steel</t>
  </si>
  <si>
    <t>Vapor barrier</t>
  </si>
  <si>
    <t>Other</t>
  </si>
  <si>
    <t>IV Exterior Finishes</t>
  </si>
  <si>
    <t>Exterior Wal Finish - Hardie Board</t>
  </si>
  <si>
    <t>Midwest Siding</t>
  </si>
  <si>
    <t>Roofing &amp; Gutters</t>
  </si>
  <si>
    <t>SKB Roofing</t>
  </si>
  <si>
    <t>Windows - Marvin</t>
  </si>
  <si>
    <t>Marvin (includes Install)</t>
  </si>
  <si>
    <t>Front door - Marvin Exterior doors</t>
  </si>
  <si>
    <t>Marvin/Builders Supply</t>
  </si>
  <si>
    <t>Garage doors (16 x 7)-(8 x 7)</t>
  </si>
  <si>
    <t>All about doors</t>
  </si>
  <si>
    <t>Basement Doors</t>
  </si>
  <si>
    <t>Builders Supply</t>
  </si>
  <si>
    <t>V Major System Rough-in</t>
  </si>
  <si>
    <t>Plumbing (Includes faucets and toilets)</t>
  </si>
  <si>
    <t>Anderson Plumbing</t>
  </si>
  <si>
    <t>Electrical (includes a - temp pole)</t>
  </si>
  <si>
    <t>HVAC (bath and dryer runs)</t>
  </si>
  <si>
    <t>Complete Comfort</t>
  </si>
  <si>
    <t>Water Heater</t>
  </si>
  <si>
    <t>HTP - Anderson Plumbing</t>
  </si>
  <si>
    <t>Water Softener</t>
  </si>
  <si>
    <t>VI Interior Finishes</t>
  </si>
  <si>
    <t>Insulation($2,080 Garage, R-50 attic)</t>
  </si>
  <si>
    <t>Cornhusker Insulation</t>
  </si>
  <si>
    <t>Drywall</t>
  </si>
  <si>
    <t>Christensen Drywall</t>
  </si>
  <si>
    <t>MB Shower</t>
  </si>
  <si>
    <t>Mckean</t>
  </si>
  <si>
    <t>Painting - D&amp;K Handy</t>
  </si>
  <si>
    <t>D&amp;K</t>
  </si>
  <si>
    <t>Lighting - D&amp;K Handy</t>
  </si>
  <si>
    <t>Cabinets, Countertops</t>
  </si>
  <si>
    <t>Factory Cabinet &amp; Mckean ($1519)</t>
  </si>
  <si>
    <t>Interior doors (14 doors)</t>
  </si>
  <si>
    <t>Menards</t>
  </si>
  <si>
    <t>Interior Trim - D&amp;K Handy 248 base board, 448 trim</t>
  </si>
  <si>
    <t>Interior Stair/Hand Rail - 24'</t>
  </si>
  <si>
    <t>Tile - kitchen</t>
  </si>
  <si>
    <t>Masonary - exterior (394 square feet)</t>
  </si>
  <si>
    <t>Appliances</t>
  </si>
  <si>
    <t>Flooring</t>
  </si>
  <si>
    <t>Bath &amp; Laundry - facets in plumbing)</t>
  </si>
  <si>
    <t>Wood Stove - Install rough in / stove later</t>
  </si>
  <si>
    <t>VII Final Steps</t>
  </si>
  <si>
    <t>Landscaping - D&amp;K Landscaping</t>
  </si>
  <si>
    <t>Outdoor Structures (deck - D&amp;K, masonary)</t>
  </si>
  <si>
    <t>Driveway, Garage, Porch, basement, Patio</t>
  </si>
  <si>
    <t>Clean Up-dumpster - porta potty</t>
  </si>
  <si>
    <t>Other - continguency</t>
  </si>
  <si>
    <t>VIII</t>
  </si>
  <si>
    <t>GRAND TOTAL</t>
  </si>
  <si>
    <t>Construction price per square foot</t>
  </si>
  <si>
    <t>Lot Expenses</t>
  </si>
  <si>
    <t>VIV</t>
  </si>
  <si>
    <t>Construction Loan Financing</t>
  </si>
  <si>
    <t>Total Estimated Still to be Paid</t>
  </si>
  <si>
    <t>Sales Commission</t>
  </si>
  <si>
    <t>Site work</t>
  </si>
  <si>
    <t>General Contractor / Profit</t>
  </si>
  <si>
    <t>Foundation</t>
  </si>
  <si>
    <t>Other Marketing</t>
  </si>
  <si>
    <t>Framing</t>
  </si>
  <si>
    <t>Potential Grand Total</t>
  </si>
  <si>
    <t>Exterior</t>
  </si>
  <si>
    <t>Major Sys</t>
  </si>
  <si>
    <t>Price per Sq Foot</t>
  </si>
  <si>
    <t>Interior</t>
  </si>
  <si>
    <t>TBD Later</t>
  </si>
  <si>
    <t>Driveway</t>
  </si>
  <si>
    <t>Pre-plan GOAL</t>
  </si>
  <si>
    <t>GOAL variance</t>
  </si>
  <si>
    <t>Core Loan</t>
  </si>
  <si>
    <t>D&amp;K Total</t>
  </si>
  <si>
    <t>Core Acct</t>
  </si>
  <si>
    <t>D&amp;K Paid</t>
  </si>
  <si>
    <t>FNBO Acct</t>
  </si>
  <si>
    <t>Appraisal</t>
  </si>
  <si>
    <t>2021 TAX REBATE and CREDIT</t>
  </si>
  <si>
    <t>Tax Rebate</t>
  </si>
  <si>
    <t>Complete</t>
  </si>
  <si>
    <t>Well lines</t>
  </si>
  <si>
    <t>26% rebate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</si>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</sst>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0" borderId="0" xfId="0" applyFont="1"/>
    <xf numFmtId="0" fontId="0" fillId="0" borderId="0" xfId="0" applyFill="1"/>
    <xf numFmtId="0" fontId="0" fillId="2" borderId="0" xfId="0" applyFill="1"/>
    <xf numFmtId="0" fontId="2" fillId="0" borderId="0" xfId="0" applyFont="1"/>
    <xf numFmtId="6" fontId="2" fillId="0" borderId="0" xfId="0" applyNumberFormat="1" applyFont="1"/>
    <xf numFmtId="6" fontId="2" fillId="0" borderId="0" xfId="0" applyNumberFormat="1" applyFont="1" applyFill="1"/>
    <xf numFmtId="10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6" fontId="2" fillId="2" borderId="0" xfId="0" applyNumberFormat="1" applyFont="1" applyFill="1"/>
    <xf numFmtId="6" fontId="1" fillId="0" borderId="0" xfId="0" applyNumberFormat="1" applyFont="1"/>
    <xf numFmtId="6" fontId="0" fillId="0" borderId="0" xfId="0" applyNumberFormat="1"/>
    <xf numFmtId="0" fontId="0" fillId="3" borderId="0" xfId="0" applyFill="1"/>
    <xf numFmtId="6" fontId="0" fillId="3" borderId="0" xfId="0" applyNumberFormat="1" applyFill="1"/>
    <xf numFmtId="10" fontId="0" fillId="3" borderId="0" xfId="0" applyNumberFormat="1" applyFill="1"/>
    <xf numFmtId="8" fontId="0" fillId="3" borderId="0" xfId="0" applyNumberFormat="1" applyFill="1"/>
    <xf numFmtId="6" fontId="2" fillId="3" borderId="0" xfId="0" applyNumberFormat="1" applyFont="1" applyFill="1"/>
    <xf numFmtId="6" fontId="3" fillId="2" borderId="0" xfId="0" applyNumberFormat="1" applyFont="1" applyFill="1"/>
    <xf numFmtId="0" fontId="3" fillId="2" borderId="0" xfId="0" applyFont="1" applyFill="1"/>
    <xf numFmtId="6" fontId="0" fillId="0" borderId="0" xfId="0" applyNumberFormat="1" applyFill="1"/>
    <xf numFmtId="10" fontId="0" fillId="0" borderId="0" xfId="0" applyNumberFormat="1"/>
    <xf numFmtId="8" fontId="0" fillId="0" borderId="0" xfId="0" applyNumberFormat="1"/>
    <xf numFmtId="0" fontId="4" fillId="3" borderId="0" xfId="0" applyFont="1" applyFill="1"/>
    <xf numFmtId="0" fontId="3" fillId="3" borderId="0" xfId="0" applyFont="1" applyFill="1"/>
    <xf numFmtId="10" fontId="3" fillId="3" borderId="0" xfId="0" applyNumberFormat="1" applyFont="1" applyFill="1" applyAlignment="1">
      <alignment horizontal="right"/>
    </xf>
    <xf numFmtId="6" fontId="0" fillId="2" borderId="0" xfId="0" applyNumberFormat="1" applyFill="1"/>
    <xf numFmtId="10" fontId="3" fillId="0" borderId="0" xfId="0" applyNumberFormat="1" applyFont="1" applyAlignment="1">
      <alignment horizontal="right"/>
    </xf>
    <xf numFmtId="0" fontId="3" fillId="4" borderId="0" xfId="0" applyFont="1" applyFill="1"/>
    <xf numFmtId="6" fontId="0" fillId="4" borderId="0" xfId="0" applyNumberFormat="1" applyFill="1"/>
    <xf numFmtId="10" fontId="3" fillId="4" borderId="0" xfId="0" applyNumberFormat="1" applyFont="1" applyFill="1" applyAlignment="1">
      <alignment horizontal="right"/>
    </xf>
    <xf numFmtId="8" fontId="0" fillId="4" borderId="0" xfId="0" applyNumberFormat="1" applyFill="1"/>
    <xf numFmtId="6" fontId="2" fillId="4" borderId="0" xfId="0" applyNumberFormat="1" applyFont="1" applyFill="1"/>
    <xf numFmtId="6" fontId="1" fillId="2" borderId="0" xfId="0" applyNumberFormat="1" applyFont="1" applyFill="1"/>
    <xf numFmtId="6" fontId="0" fillId="5" borderId="0" xfId="0" applyNumberFormat="1" applyFill="1"/>
    <xf numFmtId="6" fontId="3" fillId="0" borderId="0" xfId="0" applyNumberFormat="1" applyFont="1" applyFill="1"/>
    <xf numFmtId="0" fontId="4" fillId="0" borderId="0" xfId="0" applyFont="1"/>
    <xf numFmtId="8" fontId="2" fillId="0" borderId="0" xfId="0" applyNumberFormat="1" applyFont="1"/>
    <xf numFmtId="8" fontId="2" fillId="0" borderId="0" xfId="0" applyNumberFormat="1" applyFont="1" applyFill="1"/>
    <xf numFmtId="8" fontId="2" fillId="2" borderId="0" xfId="0" applyNumberFormat="1" applyFont="1" applyFill="1"/>
    <xf numFmtId="10" fontId="2" fillId="0" borderId="0" xfId="0" applyNumberFormat="1" applyFont="1"/>
    <xf numFmtId="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workbookViewId="0">
      <selection activeCell="D6" sqref="D6"/>
    </sheetView>
  </sheetViews>
  <sheetFormatPr defaultRowHeight="14.5" x14ac:dyDescent="0.35"/>
  <cols>
    <col min="1" max="1" width="13.453125" customWidth="1"/>
    <col min="2" max="2" width="46.1796875" customWidth="1"/>
    <col min="3" max="3" width="11.7265625" bestFit="1" customWidth="1"/>
    <col min="4" max="4" width="28.54296875" style="5" customWidth="1"/>
    <col min="5" max="5" width="20" customWidth="1"/>
    <col min="6" max="6" width="15.1796875" bestFit="1" customWidth="1"/>
    <col min="7" max="7" width="11.453125" bestFit="1" customWidth="1"/>
    <col min="8" max="8" width="11.54296875" bestFit="1" customWidth="1"/>
    <col min="9" max="9" width="10.54296875" bestFit="1" customWidth="1"/>
    <col min="10" max="10" width="11" customWidth="1"/>
    <col min="11" max="11" width="10" bestFit="1" customWidth="1"/>
    <col min="252" max="252" width="43" bestFit="1" customWidth="1"/>
    <col min="253" max="253" width="10" bestFit="1" customWidth="1"/>
    <col min="254" max="254" width="20" customWidth="1"/>
    <col min="255" max="255" width="15.1796875" bestFit="1" customWidth="1"/>
    <col min="256" max="256" width="1.54296875" customWidth="1"/>
    <col min="257" max="257" width="13.453125" customWidth="1"/>
    <col min="258" max="258" width="46.1796875" customWidth="1"/>
    <col min="259" max="259" width="11.7265625" bestFit="1" customWidth="1"/>
    <col min="260" max="260" width="23.1796875" customWidth="1"/>
    <col min="261" max="261" width="20" customWidth="1"/>
    <col min="262" max="262" width="15.1796875" bestFit="1" customWidth="1"/>
    <col min="264" max="264" width="10.54296875" bestFit="1" customWidth="1"/>
    <col min="267" max="267" width="10" bestFit="1" customWidth="1"/>
    <col min="508" max="508" width="43" bestFit="1" customWidth="1"/>
    <col min="509" max="509" width="10" bestFit="1" customWidth="1"/>
    <col min="510" max="510" width="20" customWidth="1"/>
    <col min="511" max="511" width="15.1796875" bestFit="1" customWidth="1"/>
    <col min="512" max="512" width="1.54296875" customWidth="1"/>
    <col min="513" max="513" width="13.453125" customWidth="1"/>
    <col min="514" max="514" width="46.1796875" customWidth="1"/>
    <col min="515" max="515" width="11.7265625" bestFit="1" customWidth="1"/>
    <col min="516" max="516" width="23.1796875" customWidth="1"/>
    <col min="517" max="517" width="20" customWidth="1"/>
    <col min="518" max="518" width="15.1796875" bestFit="1" customWidth="1"/>
    <col min="520" max="520" width="10.54296875" bestFit="1" customWidth="1"/>
    <col min="523" max="523" width="10" bestFit="1" customWidth="1"/>
    <col min="764" max="764" width="43" bestFit="1" customWidth="1"/>
    <col min="765" max="765" width="10" bestFit="1" customWidth="1"/>
    <col min="766" max="766" width="20" customWidth="1"/>
    <col min="767" max="767" width="15.1796875" bestFit="1" customWidth="1"/>
    <col min="768" max="768" width="1.54296875" customWidth="1"/>
    <col min="769" max="769" width="13.453125" customWidth="1"/>
    <col min="770" max="770" width="46.1796875" customWidth="1"/>
    <col min="771" max="771" width="11.7265625" bestFit="1" customWidth="1"/>
    <col min="772" max="772" width="23.1796875" customWidth="1"/>
    <col min="773" max="773" width="20" customWidth="1"/>
    <col min="774" max="774" width="15.1796875" bestFit="1" customWidth="1"/>
    <col min="776" max="776" width="10.54296875" bestFit="1" customWidth="1"/>
    <col min="779" max="779" width="10" bestFit="1" customWidth="1"/>
    <col min="1020" max="1020" width="43" bestFit="1" customWidth="1"/>
    <col min="1021" max="1021" width="10" bestFit="1" customWidth="1"/>
    <col min="1022" max="1022" width="20" customWidth="1"/>
    <col min="1023" max="1023" width="15.1796875" bestFit="1" customWidth="1"/>
    <col min="1024" max="1024" width="1.54296875" customWidth="1"/>
    <col min="1025" max="1025" width="13.453125" customWidth="1"/>
    <col min="1026" max="1026" width="46.1796875" customWidth="1"/>
    <col min="1027" max="1027" width="11.7265625" bestFit="1" customWidth="1"/>
    <col min="1028" max="1028" width="23.1796875" customWidth="1"/>
    <col min="1029" max="1029" width="20" customWidth="1"/>
    <col min="1030" max="1030" width="15.1796875" bestFit="1" customWidth="1"/>
    <col min="1032" max="1032" width="10.54296875" bestFit="1" customWidth="1"/>
    <col min="1035" max="1035" width="10" bestFit="1" customWidth="1"/>
    <col min="1276" max="1276" width="43" bestFit="1" customWidth="1"/>
    <col min="1277" max="1277" width="10" bestFit="1" customWidth="1"/>
    <col min="1278" max="1278" width="20" customWidth="1"/>
    <col min="1279" max="1279" width="15.1796875" bestFit="1" customWidth="1"/>
    <col min="1280" max="1280" width="1.54296875" customWidth="1"/>
    <col min="1281" max="1281" width="13.453125" customWidth="1"/>
    <col min="1282" max="1282" width="46.1796875" customWidth="1"/>
    <col min="1283" max="1283" width="11.7265625" bestFit="1" customWidth="1"/>
    <col min="1284" max="1284" width="23.1796875" customWidth="1"/>
    <col min="1285" max="1285" width="20" customWidth="1"/>
    <col min="1286" max="1286" width="15.1796875" bestFit="1" customWidth="1"/>
    <col min="1288" max="1288" width="10.54296875" bestFit="1" customWidth="1"/>
    <col min="1291" max="1291" width="10" bestFit="1" customWidth="1"/>
    <col min="1532" max="1532" width="43" bestFit="1" customWidth="1"/>
    <col min="1533" max="1533" width="10" bestFit="1" customWidth="1"/>
    <col min="1534" max="1534" width="20" customWidth="1"/>
    <col min="1535" max="1535" width="15.1796875" bestFit="1" customWidth="1"/>
    <col min="1536" max="1536" width="1.54296875" customWidth="1"/>
    <col min="1537" max="1537" width="13.453125" customWidth="1"/>
    <col min="1538" max="1538" width="46.1796875" customWidth="1"/>
    <col min="1539" max="1539" width="11.7265625" bestFit="1" customWidth="1"/>
    <col min="1540" max="1540" width="23.1796875" customWidth="1"/>
    <col min="1541" max="1541" width="20" customWidth="1"/>
    <col min="1542" max="1542" width="15.1796875" bestFit="1" customWidth="1"/>
    <col min="1544" max="1544" width="10.54296875" bestFit="1" customWidth="1"/>
    <col min="1547" max="1547" width="10" bestFit="1" customWidth="1"/>
    <col min="1788" max="1788" width="43" bestFit="1" customWidth="1"/>
    <col min="1789" max="1789" width="10" bestFit="1" customWidth="1"/>
    <col min="1790" max="1790" width="20" customWidth="1"/>
    <col min="1791" max="1791" width="15.1796875" bestFit="1" customWidth="1"/>
    <col min="1792" max="1792" width="1.54296875" customWidth="1"/>
    <col min="1793" max="1793" width="13.453125" customWidth="1"/>
    <col min="1794" max="1794" width="46.1796875" customWidth="1"/>
    <col min="1795" max="1795" width="11.7265625" bestFit="1" customWidth="1"/>
    <col min="1796" max="1796" width="23.1796875" customWidth="1"/>
    <col min="1797" max="1797" width="20" customWidth="1"/>
    <col min="1798" max="1798" width="15.1796875" bestFit="1" customWidth="1"/>
    <col min="1800" max="1800" width="10.54296875" bestFit="1" customWidth="1"/>
    <col min="1803" max="1803" width="10" bestFit="1" customWidth="1"/>
    <col min="2044" max="2044" width="43" bestFit="1" customWidth="1"/>
    <col min="2045" max="2045" width="10" bestFit="1" customWidth="1"/>
    <col min="2046" max="2046" width="20" customWidth="1"/>
    <col min="2047" max="2047" width="15.1796875" bestFit="1" customWidth="1"/>
    <col min="2048" max="2048" width="1.54296875" customWidth="1"/>
    <col min="2049" max="2049" width="13.453125" customWidth="1"/>
    <col min="2050" max="2050" width="46.1796875" customWidth="1"/>
    <col min="2051" max="2051" width="11.7265625" bestFit="1" customWidth="1"/>
    <col min="2052" max="2052" width="23.1796875" customWidth="1"/>
    <col min="2053" max="2053" width="20" customWidth="1"/>
    <col min="2054" max="2054" width="15.1796875" bestFit="1" customWidth="1"/>
    <col min="2056" max="2056" width="10.54296875" bestFit="1" customWidth="1"/>
    <col min="2059" max="2059" width="10" bestFit="1" customWidth="1"/>
    <col min="2300" max="2300" width="43" bestFit="1" customWidth="1"/>
    <col min="2301" max="2301" width="10" bestFit="1" customWidth="1"/>
    <col min="2302" max="2302" width="20" customWidth="1"/>
    <col min="2303" max="2303" width="15.1796875" bestFit="1" customWidth="1"/>
    <col min="2304" max="2304" width="1.54296875" customWidth="1"/>
    <col min="2305" max="2305" width="13.453125" customWidth="1"/>
    <col min="2306" max="2306" width="46.1796875" customWidth="1"/>
    <col min="2307" max="2307" width="11.7265625" bestFit="1" customWidth="1"/>
    <col min="2308" max="2308" width="23.1796875" customWidth="1"/>
    <col min="2309" max="2309" width="20" customWidth="1"/>
    <col min="2310" max="2310" width="15.1796875" bestFit="1" customWidth="1"/>
    <col min="2312" max="2312" width="10.54296875" bestFit="1" customWidth="1"/>
    <col min="2315" max="2315" width="10" bestFit="1" customWidth="1"/>
    <col min="2556" max="2556" width="43" bestFit="1" customWidth="1"/>
    <col min="2557" max="2557" width="10" bestFit="1" customWidth="1"/>
    <col min="2558" max="2558" width="20" customWidth="1"/>
    <col min="2559" max="2559" width="15.1796875" bestFit="1" customWidth="1"/>
    <col min="2560" max="2560" width="1.54296875" customWidth="1"/>
    <col min="2561" max="2561" width="13.453125" customWidth="1"/>
    <col min="2562" max="2562" width="46.1796875" customWidth="1"/>
    <col min="2563" max="2563" width="11.7265625" bestFit="1" customWidth="1"/>
    <col min="2564" max="2564" width="23.1796875" customWidth="1"/>
    <col min="2565" max="2565" width="20" customWidth="1"/>
    <col min="2566" max="2566" width="15.1796875" bestFit="1" customWidth="1"/>
    <col min="2568" max="2568" width="10.54296875" bestFit="1" customWidth="1"/>
    <col min="2571" max="2571" width="10" bestFit="1" customWidth="1"/>
    <col min="2812" max="2812" width="43" bestFit="1" customWidth="1"/>
    <col min="2813" max="2813" width="10" bestFit="1" customWidth="1"/>
    <col min="2814" max="2814" width="20" customWidth="1"/>
    <col min="2815" max="2815" width="15.1796875" bestFit="1" customWidth="1"/>
    <col min="2816" max="2816" width="1.54296875" customWidth="1"/>
    <col min="2817" max="2817" width="13.453125" customWidth="1"/>
    <col min="2818" max="2818" width="46.1796875" customWidth="1"/>
    <col min="2819" max="2819" width="11.7265625" bestFit="1" customWidth="1"/>
    <col min="2820" max="2820" width="23.1796875" customWidth="1"/>
    <col min="2821" max="2821" width="20" customWidth="1"/>
    <col min="2822" max="2822" width="15.1796875" bestFit="1" customWidth="1"/>
    <col min="2824" max="2824" width="10.54296875" bestFit="1" customWidth="1"/>
    <col min="2827" max="2827" width="10" bestFit="1" customWidth="1"/>
    <col min="3068" max="3068" width="43" bestFit="1" customWidth="1"/>
    <col min="3069" max="3069" width="10" bestFit="1" customWidth="1"/>
    <col min="3070" max="3070" width="20" customWidth="1"/>
    <col min="3071" max="3071" width="15.1796875" bestFit="1" customWidth="1"/>
    <col min="3072" max="3072" width="1.54296875" customWidth="1"/>
    <col min="3073" max="3073" width="13.453125" customWidth="1"/>
    <col min="3074" max="3074" width="46.1796875" customWidth="1"/>
    <col min="3075" max="3075" width="11.7265625" bestFit="1" customWidth="1"/>
    <col min="3076" max="3076" width="23.1796875" customWidth="1"/>
    <col min="3077" max="3077" width="20" customWidth="1"/>
    <col min="3078" max="3078" width="15.1796875" bestFit="1" customWidth="1"/>
    <col min="3080" max="3080" width="10.54296875" bestFit="1" customWidth="1"/>
    <col min="3083" max="3083" width="10" bestFit="1" customWidth="1"/>
    <col min="3324" max="3324" width="43" bestFit="1" customWidth="1"/>
    <col min="3325" max="3325" width="10" bestFit="1" customWidth="1"/>
    <col min="3326" max="3326" width="20" customWidth="1"/>
    <col min="3327" max="3327" width="15.1796875" bestFit="1" customWidth="1"/>
    <col min="3328" max="3328" width="1.54296875" customWidth="1"/>
    <col min="3329" max="3329" width="13.453125" customWidth="1"/>
    <col min="3330" max="3330" width="46.1796875" customWidth="1"/>
    <col min="3331" max="3331" width="11.7265625" bestFit="1" customWidth="1"/>
    <col min="3332" max="3332" width="23.1796875" customWidth="1"/>
    <col min="3333" max="3333" width="20" customWidth="1"/>
    <col min="3334" max="3334" width="15.1796875" bestFit="1" customWidth="1"/>
    <col min="3336" max="3336" width="10.54296875" bestFit="1" customWidth="1"/>
    <col min="3339" max="3339" width="10" bestFit="1" customWidth="1"/>
    <col min="3580" max="3580" width="43" bestFit="1" customWidth="1"/>
    <col min="3581" max="3581" width="10" bestFit="1" customWidth="1"/>
    <col min="3582" max="3582" width="20" customWidth="1"/>
    <col min="3583" max="3583" width="15.1796875" bestFit="1" customWidth="1"/>
    <col min="3584" max="3584" width="1.54296875" customWidth="1"/>
    <col min="3585" max="3585" width="13.453125" customWidth="1"/>
    <col min="3586" max="3586" width="46.1796875" customWidth="1"/>
    <col min="3587" max="3587" width="11.7265625" bestFit="1" customWidth="1"/>
    <col min="3588" max="3588" width="23.1796875" customWidth="1"/>
    <col min="3589" max="3589" width="20" customWidth="1"/>
    <col min="3590" max="3590" width="15.1796875" bestFit="1" customWidth="1"/>
    <col min="3592" max="3592" width="10.54296875" bestFit="1" customWidth="1"/>
    <col min="3595" max="3595" width="10" bestFit="1" customWidth="1"/>
    <col min="3836" max="3836" width="43" bestFit="1" customWidth="1"/>
    <col min="3837" max="3837" width="10" bestFit="1" customWidth="1"/>
    <col min="3838" max="3838" width="20" customWidth="1"/>
    <col min="3839" max="3839" width="15.1796875" bestFit="1" customWidth="1"/>
    <col min="3840" max="3840" width="1.54296875" customWidth="1"/>
    <col min="3841" max="3841" width="13.453125" customWidth="1"/>
    <col min="3842" max="3842" width="46.1796875" customWidth="1"/>
    <col min="3843" max="3843" width="11.7265625" bestFit="1" customWidth="1"/>
    <col min="3844" max="3844" width="23.1796875" customWidth="1"/>
    <col min="3845" max="3845" width="20" customWidth="1"/>
    <col min="3846" max="3846" width="15.1796875" bestFit="1" customWidth="1"/>
    <col min="3848" max="3848" width="10.54296875" bestFit="1" customWidth="1"/>
    <col min="3851" max="3851" width="10" bestFit="1" customWidth="1"/>
    <col min="4092" max="4092" width="43" bestFit="1" customWidth="1"/>
    <col min="4093" max="4093" width="10" bestFit="1" customWidth="1"/>
    <col min="4094" max="4094" width="20" customWidth="1"/>
    <col min="4095" max="4095" width="15.1796875" bestFit="1" customWidth="1"/>
    <col min="4096" max="4096" width="1.54296875" customWidth="1"/>
    <col min="4097" max="4097" width="13.453125" customWidth="1"/>
    <col min="4098" max="4098" width="46.1796875" customWidth="1"/>
    <col min="4099" max="4099" width="11.7265625" bestFit="1" customWidth="1"/>
    <col min="4100" max="4100" width="23.1796875" customWidth="1"/>
    <col min="4101" max="4101" width="20" customWidth="1"/>
    <col min="4102" max="4102" width="15.1796875" bestFit="1" customWidth="1"/>
    <col min="4104" max="4104" width="10.54296875" bestFit="1" customWidth="1"/>
    <col min="4107" max="4107" width="10" bestFit="1" customWidth="1"/>
    <col min="4348" max="4348" width="43" bestFit="1" customWidth="1"/>
    <col min="4349" max="4349" width="10" bestFit="1" customWidth="1"/>
    <col min="4350" max="4350" width="20" customWidth="1"/>
    <col min="4351" max="4351" width="15.1796875" bestFit="1" customWidth="1"/>
    <col min="4352" max="4352" width="1.54296875" customWidth="1"/>
    <col min="4353" max="4353" width="13.453125" customWidth="1"/>
    <col min="4354" max="4354" width="46.1796875" customWidth="1"/>
    <col min="4355" max="4355" width="11.7265625" bestFit="1" customWidth="1"/>
    <col min="4356" max="4356" width="23.1796875" customWidth="1"/>
    <col min="4357" max="4357" width="20" customWidth="1"/>
    <col min="4358" max="4358" width="15.1796875" bestFit="1" customWidth="1"/>
    <col min="4360" max="4360" width="10.54296875" bestFit="1" customWidth="1"/>
    <col min="4363" max="4363" width="10" bestFit="1" customWidth="1"/>
    <col min="4604" max="4604" width="43" bestFit="1" customWidth="1"/>
    <col min="4605" max="4605" width="10" bestFit="1" customWidth="1"/>
    <col min="4606" max="4606" width="20" customWidth="1"/>
    <col min="4607" max="4607" width="15.1796875" bestFit="1" customWidth="1"/>
    <col min="4608" max="4608" width="1.54296875" customWidth="1"/>
    <col min="4609" max="4609" width="13.453125" customWidth="1"/>
    <col min="4610" max="4610" width="46.1796875" customWidth="1"/>
    <col min="4611" max="4611" width="11.7265625" bestFit="1" customWidth="1"/>
    <col min="4612" max="4612" width="23.1796875" customWidth="1"/>
    <col min="4613" max="4613" width="20" customWidth="1"/>
    <col min="4614" max="4614" width="15.1796875" bestFit="1" customWidth="1"/>
    <col min="4616" max="4616" width="10.54296875" bestFit="1" customWidth="1"/>
    <col min="4619" max="4619" width="10" bestFit="1" customWidth="1"/>
    <col min="4860" max="4860" width="43" bestFit="1" customWidth="1"/>
    <col min="4861" max="4861" width="10" bestFit="1" customWidth="1"/>
    <col min="4862" max="4862" width="20" customWidth="1"/>
    <col min="4863" max="4863" width="15.1796875" bestFit="1" customWidth="1"/>
    <col min="4864" max="4864" width="1.54296875" customWidth="1"/>
    <col min="4865" max="4865" width="13.453125" customWidth="1"/>
    <col min="4866" max="4866" width="46.1796875" customWidth="1"/>
    <col min="4867" max="4867" width="11.7265625" bestFit="1" customWidth="1"/>
    <col min="4868" max="4868" width="23.1796875" customWidth="1"/>
    <col min="4869" max="4869" width="20" customWidth="1"/>
    <col min="4870" max="4870" width="15.1796875" bestFit="1" customWidth="1"/>
    <col min="4872" max="4872" width="10.54296875" bestFit="1" customWidth="1"/>
    <col min="4875" max="4875" width="10" bestFit="1" customWidth="1"/>
    <col min="5116" max="5116" width="43" bestFit="1" customWidth="1"/>
    <col min="5117" max="5117" width="10" bestFit="1" customWidth="1"/>
    <col min="5118" max="5118" width="20" customWidth="1"/>
    <col min="5119" max="5119" width="15.1796875" bestFit="1" customWidth="1"/>
    <col min="5120" max="5120" width="1.54296875" customWidth="1"/>
    <col min="5121" max="5121" width="13.453125" customWidth="1"/>
    <col min="5122" max="5122" width="46.1796875" customWidth="1"/>
    <col min="5123" max="5123" width="11.7265625" bestFit="1" customWidth="1"/>
    <col min="5124" max="5124" width="23.1796875" customWidth="1"/>
    <col min="5125" max="5125" width="20" customWidth="1"/>
    <col min="5126" max="5126" width="15.1796875" bestFit="1" customWidth="1"/>
    <col min="5128" max="5128" width="10.54296875" bestFit="1" customWidth="1"/>
    <col min="5131" max="5131" width="10" bestFit="1" customWidth="1"/>
    <col min="5372" max="5372" width="43" bestFit="1" customWidth="1"/>
    <col min="5373" max="5373" width="10" bestFit="1" customWidth="1"/>
    <col min="5374" max="5374" width="20" customWidth="1"/>
    <col min="5375" max="5375" width="15.1796875" bestFit="1" customWidth="1"/>
    <col min="5376" max="5376" width="1.54296875" customWidth="1"/>
    <col min="5377" max="5377" width="13.453125" customWidth="1"/>
    <col min="5378" max="5378" width="46.1796875" customWidth="1"/>
    <col min="5379" max="5379" width="11.7265625" bestFit="1" customWidth="1"/>
    <col min="5380" max="5380" width="23.1796875" customWidth="1"/>
    <col min="5381" max="5381" width="20" customWidth="1"/>
    <col min="5382" max="5382" width="15.1796875" bestFit="1" customWidth="1"/>
    <col min="5384" max="5384" width="10.54296875" bestFit="1" customWidth="1"/>
    <col min="5387" max="5387" width="10" bestFit="1" customWidth="1"/>
    <col min="5628" max="5628" width="43" bestFit="1" customWidth="1"/>
    <col min="5629" max="5629" width="10" bestFit="1" customWidth="1"/>
    <col min="5630" max="5630" width="20" customWidth="1"/>
    <col min="5631" max="5631" width="15.1796875" bestFit="1" customWidth="1"/>
    <col min="5632" max="5632" width="1.54296875" customWidth="1"/>
    <col min="5633" max="5633" width="13.453125" customWidth="1"/>
    <col min="5634" max="5634" width="46.1796875" customWidth="1"/>
    <col min="5635" max="5635" width="11.7265625" bestFit="1" customWidth="1"/>
    <col min="5636" max="5636" width="23.1796875" customWidth="1"/>
    <col min="5637" max="5637" width="20" customWidth="1"/>
    <col min="5638" max="5638" width="15.1796875" bestFit="1" customWidth="1"/>
    <col min="5640" max="5640" width="10.54296875" bestFit="1" customWidth="1"/>
    <col min="5643" max="5643" width="10" bestFit="1" customWidth="1"/>
    <col min="5884" max="5884" width="43" bestFit="1" customWidth="1"/>
    <col min="5885" max="5885" width="10" bestFit="1" customWidth="1"/>
    <col min="5886" max="5886" width="20" customWidth="1"/>
    <col min="5887" max="5887" width="15.1796875" bestFit="1" customWidth="1"/>
    <col min="5888" max="5888" width="1.54296875" customWidth="1"/>
    <col min="5889" max="5889" width="13.453125" customWidth="1"/>
    <col min="5890" max="5890" width="46.1796875" customWidth="1"/>
    <col min="5891" max="5891" width="11.7265625" bestFit="1" customWidth="1"/>
    <col min="5892" max="5892" width="23.1796875" customWidth="1"/>
    <col min="5893" max="5893" width="20" customWidth="1"/>
    <col min="5894" max="5894" width="15.1796875" bestFit="1" customWidth="1"/>
    <col min="5896" max="5896" width="10.54296875" bestFit="1" customWidth="1"/>
    <col min="5899" max="5899" width="10" bestFit="1" customWidth="1"/>
    <col min="6140" max="6140" width="43" bestFit="1" customWidth="1"/>
    <col min="6141" max="6141" width="10" bestFit="1" customWidth="1"/>
    <col min="6142" max="6142" width="20" customWidth="1"/>
    <col min="6143" max="6143" width="15.1796875" bestFit="1" customWidth="1"/>
    <col min="6144" max="6144" width="1.54296875" customWidth="1"/>
    <col min="6145" max="6145" width="13.453125" customWidth="1"/>
    <col min="6146" max="6146" width="46.1796875" customWidth="1"/>
    <col min="6147" max="6147" width="11.7265625" bestFit="1" customWidth="1"/>
    <col min="6148" max="6148" width="23.1796875" customWidth="1"/>
    <col min="6149" max="6149" width="20" customWidth="1"/>
    <col min="6150" max="6150" width="15.1796875" bestFit="1" customWidth="1"/>
    <col min="6152" max="6152" width="10.54296875" bestFit="1" customWidth="1"/>
    <col min="6155" max="6155" width="10" bestFit="1" customWidth="1"/>
    <col min="6396" max="6396" width="43" bestFit="1" customWidth="1"/>
    <col min="6397" max="6397" width="10" bestFit="1" customWidth="1"/>
    <col min="6398" max="6398" width="20" customWidth="1"/>
    <col min="6399" max="6399" width="15.1796875" bestFit="1" customWidth="1"/>
    <col min="6400" max="6400" width="1.54296875" customWidth="1"/>
    <col min="6401" max="6401" width="13.453125" customWidth="1"/>
    <col min="6402" max="6402" width="46.1796875" customWidth="1"/>
    <col min="6403" max="6403" width="11.7265625" bestFit="1" customWidth="1"/>
    <col min="6404" max="6404" width="23.1796875" customWidth="1"/>
    <col min="6405" max="6405" width="20" customWidth="1"/>
    <col min="6406" max="6406" width="15.1796875" bestFit="1" customWidth="1"/>
    <col min="6408" max="6408" width="10.54296875" bestFit="1" customWidth="1"/>
    <col min="6411" max="6411" width="10" bestFit="1" customWidth="1"/>
    <col min="6652" max="6652" width="43" bestFit="1" customWidth="1"/>
    <col min="6653" max="6653" width="10" bestFit="1" customWidth="1"/>
    <col min="6654" max="6654" width="20" customWidth="1"/>
    <col min="6655" max="6655" width="15.1796875" bestFit="1" customWidth="1"/>
    <col min="6656" max="6656" width="1.54296875" customWidth="1"/>
    <col min="6657" max="6657" width="13.453125" customWidth="1"/>
    <col min="6658" max="6658" width="46.1796875" customWidth="1"/>
    <col min="6659" max="6659" width="11.7265625" bestFit="1" customWidth="1"/>
    <col min="6660" max="6660" width="23.1796875" customWidth="1"/>
    <col min="6661" max="6661" width="20" customWidth="1"/>
    <col min="6662" max="6662" width="15.1796875" bestFit="1" customWidth="1"/>
    <col min="6664" max="6664" width="10.54296875" bestFit="1" customWidth="1"/>
    <col min="6667" max="6667" width="10" bestFit="1" customWidth="1"/>
    <col min="6908" max="6908" width="43" bestFit="1" customWidth="1"/>
    <col min="6909" max="6909" width="10" bestFit="1" customWidth="1"/>
    <col min="6910" max="6910" width="20" customWidth="1"/>
    <col min="6911" max="6911" width="15.1796875" bestFit="1" customWidth="1"/>
    <col min="6912" max="6912" width="1.54296875" customWidth="1"/>
    <col min="6913" max="6913" width="13.453125" customWidth="1"/>
    <col min="6914" max="6914" width="46.1796875" customWidth="1"/>
    <col min="6915" max="6915" width="11.7265625" bestFit="1" customWidth="1"/>
    <col min="6916" max="6916" width="23.1796875" customWidth="1"/>
    <col min="6917" max="6917" width="20" customWidth="1"/>
    <col min="6918" max="6918" width="15.1796875" bestFit="1" customWidth="1"/>
    <col min="6920" max="6920" width="10.54296875" bestFit="1" customWidth="1"/>
    <col min="6923" max="6923" width="10" bestFit="1" customWidth="1"/>
    <col min="7164" max="7164" width="43" bestFit="1" customWidth="1"/>
    <col min="7165" max="7165" width="10" bestFit="1" customWidth="1"/>
    <col min="7166" max="7166" width="20" customWidth="1"/>
    <col min="7167" max="7167" width="15.1796875" bestFit="1" customWidth="1"/>
    <col min="7168" max="7168" width="1.54296875" customWidth="1"/>
    <col min="7169" max="7169" width="13.453125" customWidth="1"/>
    <col min="7170" max="7170" width="46.1796875" customWidth="1"/>
    <col min="7171" max="7171" width="11.7265625" bestFit="1" customWidth="1"/>
    <col min="7172" max="7172" width="23.1796875" customWidth="1"/>
    <col min="7173" max="7173" width="20" customWidth="1"/>
    <col min="7174" max="7174" width="15.1796875" bestFit="1" customWidth="1"/>
    <col min="7176" max="7176" width="10.54296875" bestFit="1" customWidth="1"/>
    <col min="7179" max="7179" width="10" bestFit="1" customWidth="1"/>
    <col min="7420" max="7420" width="43" bestFit="1" customWidth="1"/>
    <col min="7421" max="7421" width="10" bestFit="1" customWidth="1"/>
    <col min="7422" max="7422" width="20" customWidth="1"/>
    <col min="7423" max="7423" width="15.1796875" bestFit="1" customWidth="1"/>
    <col min="7424" max="7424" width="1.54296875" customWidth="1"/>
    <col min="7425" max="7425" width="13.453125" customWidth="1"/>
    <col min="7426" max="7426" width="46.1796875" customWidth="1"/>
    <col min="7427" max="7427" width="11.7265625" bestFit="1" customWidth="1"/>
    <col min="7428" max="7428" width="23.1796875" customWidth="1"/>
    <col min="7429" max="7429" width="20" customWidth="1"/>
    <col min="7430" max="7430" width="15.1796875" bestFit="1" customWidth="1"/>
    <col min="7432" max="7432" width="10.54296875" bestFit="1" customWidth="1"/>
    <col min="7435" max="7435" width="10" bestFit="1" customWidth="1"/>
    <col min="7676" max="7676" width="43" bestFit="1" customWidth="1"/>
    <col min="7677" max="7677" width="10" bestFit="1" customWidth="1"/>
    <col min="7678" max="7678" width="20" customWidth="1"/>
    <col min="7679" max="7679" width="15.1796875" bestFit="1" customWidth="1"/>
    <col min="7680" max="7680" width="1.54296875" customWidth="1"/>
    <col min="7681" max="7681" width="13.453125" customWidth="1"/>
    <col min="7682" max="7682" width="46.1796875" customWidth="1"/>
    <col min="7683" max="7683" width="11.7265625" bestFit="1" customWidth="1"/>
    <col min="7684" max="7684" width="23.1796875" customWidth="1"/>
    <col min="7685" max="7685" width="20" customWidth="1"/>
    <col min="7686" max="7686" width="15.1796875" bestFit="1" customWidth="1"/>
    <col min="7688" max="7688" width="10.54296875" bestFit="1" customWidth="1"/>
    <col min="7691" max="7691" width="10" bestFit="1" customWidth="1"/>
    <col min="7932" max="7932" width="43" bestFit="1" customWidth="1"/>
    <col min="7933" max="7933" width="10" bestFit="1" customWidth="1"/>
    <col min="7934" max="7934" width="20" customWidth="1"/>
    <col min="7935" max="7935" width="15.1796875" bestFit="1" customWidth="1"/>
    <col min="7936" max="7936" width="1.54296875" customWidth="1"/>
    <col min="7937" max="7937" width="13.453125" customWidth="1"/>
    <col min="7938" max="7938" width="46.1796875" customWidth="1"/>
    <col min="7939" max="7939" width="11.7265625" bestFit="1" customWidth="1"/>
    <col min="7940" max="7940" width="23.1796875" customWidth="1"/>
    <col min="7941" max="7941" width="20" customWidth="1"/>
    <col min="7942" max="7942" width="15.1796875" bestFit="1" customWidth="1"/>
    <col min="7944" max="7944" width="10.54296875" bestFit="1" customWidth="1"/>
    <col min="7947" max="7947" width="10" bestFit="1" customWidth="1"/>
    <col min="8188" max="8188" width="43" bestFit="1" customWidth="1"/>
    <col min="8189" max="8189" width="10" bestFit="1" customWidth="1"/>
    <col min="8190" max="8190" width="20" customWidth="1"/>
    <col min="8191" max="8191" width="15.1796875" bestFit="1" customWidth="1"/>
    <col min="8192" max="8192" width="1.54296875" customWidth="1"/>
    <col min="8193" max="8193" width="13.453125" customWidth="1"/>
    <col min="8194" max="8194" width="46.1796875" customWidth="1"/>
    <col min="8195" max="8195" width="11.7265625" bestFit="1" customWidth="1"/>
    <col min="8196" max="8196" width="23.1796875" customWidth="1"/>
    <col min="8197" max="8197" width="20" customWidth="1"/>
    <col min="8198" max="8198" width="15.1796875" bestFit="1" customWidth="1"/>
    <col min="8200" max="8200" width="10.54296875" bestFit="1" customWidth="1"/>
    <col min="8203" max="8203" width="10" bestFit="1" customWidth="1"/>
    <col min="8444" max="8444" width="43" bestFit="1" customWidth="1"/>
    <col min="8445" max="8445" width="10" bestFit="1" customWidth="1"/>
    <col min="8446" max="8446" width="20" customWidth="1"/>
    <col min="8447" max="8447" width="15.1796875" bestFit="1" customWidth="1"/>
    <col min="8448" max="8448" width="1.54296875" customWidth="1"/>
    <col min="8449" max="8449" width="13.453125" customWidth="1"/>
    <col min="8450" max="8450" width="46.1796875" customWidth="1"/>
    <col min="8451" max="8451" width="11.7265625" bestFit="1" customWidth="1"/>
    <col min="8452" max="8452" width="23.1796875" customWidth="1"/>
    <col min="8453" max="8453" width="20" customWidth="1"/>
    <col min="8454" max="8454" width="15.1796875" bestFit="1" customWidth="1"/>
    <col min="8456" max="8456" width="10.54296875" bestFit="1" customWidth="1"/>
    <col min="8459" max="8459" width="10" bestFit="1" customWidth="1"/>
    <col min="8700" max="8700" width="43" bestFit="1" customWidth="1"/>
    <col min="8701" max="8701" width="10" bestFit="1" customWidth="1"/>
    <col min="8702" max="8702" width="20" customWidth="1"/>
    <col min="8703" max="8703" width="15.1796875" bestFit="1" customWidth="1"/>
    <col min="8704" max="8704" width="1.54296875" customWidth="1"/>
    <col min="8705" max="8705" width="13.453125" customWidth="1"/>
    <col min="8706" max="8706" width="46.1796875" customWidth="1"/>
    <col min="8707" max="8707" width="11.7265625" bestFit="1" customWidth="1"/>
    <col min="8708" max="8708" width="23.1796875" customWidth="1"/>
    <col min="8709" max="8709" width="20" customWidth="1"/>
    <col min="8710" max="8710" width="15.1796875" bestFit="1" customWidth="1"/>
    <col min="8712" max="8712" width="10.54296875" bestFit="1" customWidth="1"/>
    <col min="8715" max="8715" width="10" bestFit="1" customWidth="1"/>
    <col min="8956" max="8956" width="43" bestFit="1" customWidth="1"/>
    <col min="8957" max="8957" width="10" bestFit="1" customWidth="1"/>
    <col min="8958" max="8958" width="20" customWidth="1"/>
    <col min="8959" max="8959" width="15.1796875" bestFit="1" customWidth="1"/>
    <col min="8960" max="8960" width="1.54296875" customWidth="1"/>
    <col min="8961" max="8961" width="13.453125" customWidth="1"/>
    <col min="8962" max="8962" width="46.1796875" customWidth="1"/>
    <col min="8963" max="8963" width="11.7265625" bestFit="1" customWidth="1"/>
    <col min="8964" max="8964" width="23.1796875" customWidth="1"/>
    <col min="8965" max="8965" width="20" customWidth="1"/>
    <col min="8966" max="8966" width="15.1796875" bestFit="1" customWidth="1"/>
    <col min="8968" max="8968" width="10.54296875" bestFit="1" customWidth="1"/>
    <col min="8971" max="8971" width="10" bestFit="1" customWidth="1"/>
    <col min="9212" max="9212" width="43" bestFit="1" customWidth="1"/>
    <col min="9213" max="9213" width="10" bestFit="1" customWidth="1"/>
    <col min="9214" max="9214" width="20" customWidth="1"/>
    <col min="9215" max="9215" width="15.1796875" bestFit="1" customWidth="1"/>
    <col min="9216" max="9216" width="1.54296875" customWidth="1"/>
    <col min="9217" max="9217" width="13.453125" customWidth="1"/>
    <col min="9218" max="9218" width="46.1796875" customWidth="1"/>
    <col min="9219" max="9219" width="11.7265625" bestFit="1" customWidth="1"/>
    <col min="9220" max="9220" width="23.1796875" customWidth="1"/>
    <col min="9221" max="9221" width="20" customWidth="1"/>
    <col min="9222" max="9222" width="15.1796875" bestFit="1" customWidth="1"/>
    <col min="9224" max="9224" width="10.54296875" bestFit="1" customWidth="1"/>
    <col min="9227" max="9227" width="10" bestFit="1" customWidth="1"/>
    <col min="9468" max="9468" width="43" bestFit="1" customWidth="1"/>
    <col min="9469" max="9469" width="10" bestFit="1" customWidth="1"/>
    <col min="9470" max="9470" width="20" customWidth="1"/>
    <col min="9471" max="9471" width="15.1796875" bestFit="1" customWidth="1"/>
    <col min="9472" max="9472" width="1.54296875" customWidth="1"/>
    <col min="9473" max="9473" width="13.453125" customWidth="1"/>
    <col min="9474" max="9474" width="46.1796875" customWidth="1"/>
    <col min="9475" max="9475" width="11.7265625" bestFit="1" customWidth="1"/>
    <col min="9476" max="9476" width="23.1796875" customWidth="1"/>
    <col min="9477" max="9477" width="20" customWidth="1"/>
    <col min="9478" max="9478" width="15.1796875" bestFit="1" customWidth="1"/>
    <col min="9480" max="9480" width="10.54296875" bestFit="1" customWidth="1"/>
    <col min="9483" max="9483" width="10" bestFit="1" customWidth="1"/>
    <col min="9724" max="9724" width="43" bestFit="1" customWidth="1"/>
    <col min="9725" max="9725" width="10" bestFit="1" customWidth="1"/>
    <col min="9726" max="9726" width="20" customWidth="1"/>
    <col min="9727" max="9727" width="15.1796875" bestFit="1" customWidth="1"/>
    <col min="9728" max="9728" width="1.54296875" customWidth="1"/>
    <col min="9729" max="9729" width="13.453125" customWidth="1"/>
    <col min="9730" max="9730" width="46.1796875" customWidth="1"/>
    <col min="9731" max="9731" width="11.7265625" bestFit="1" customWidth="1"/>
    <col min="9732" max="9732" width="23.1796875" customWidth="1"/>
    <col min="9733" max="9733" width="20" customWidth="1"/>
    <col min="9734" max="9734" width="15.1796875" bestFit="1" customWidth="1"/>
    <col min="9736" max="9736" width="10.54296875" bestFit="1" customWidth="1"/>
    <col min="9739" max="9739" width="10" bestFit="1" customWidth="1"/>
    <col min="9980" max="9980" width="43" bestFit="1" customWidth="1"/>
    <col min="9981" max="9981" width="10" bestFit="1" customWidth="1"/>
    <col min="9982" max="9982" width="20" customWidth="1"/>
    <col min="9983" max="9983" width="15.1796875" bestFit="1" customWidth="1"/>
    <col min="9984" max="9984" width="1.54296875" customWidth="1"/>
    <col min="9985" max="9985" width="13.453125" customWidth="1"/>
    <col min="9986" max="9986" width="46.1796875" customWidth="1"/>
    <col min="9987" max="9987" width="11.7265625" bestFit="1" customWidth="1"/>
    <col min="9988" max="9988" width="23.1796875" customWidth="1"/>
    <col min="9989" max="9989" width="20" customWidth="1"/>
    <col min="9990" max="9990" width="15.1796875" bestFit="1" customWidth="1"/>
    <col min="9992" max="9992" width="10.54296875" bestFit="1" customWidth="1"/>
    <col min="9995" max="9995" width="10" bestFit="1" customWidth="1"/>
    <col min="10236" max="10236" width="43" bestFit="1" customWidth="1"/>
    <col min="10237" max="10237" width="10" bestFit="1" customWidth="1"/>
    <col min="10238" max="10238" width="20" customWidth="1"/>
    <col min="10239" max="10239" width="15.1796875" bestFit="1" customWidth="1"/>
    <col min="10240" max="10240" width="1.54296875" customWidth="1"/>
    <col min="10241" max="10241" width="13.453125" customWidth="1"/>
    <col min="10242" max="10242" width="46.1796875" customWidth="1"/>
    <col min="10243" max="10243" width="11.7265625" bestFit="1" customWidth="1"/>
    <col min="10244" max="10244" width="23.1796875" customWidth="1"/>
    <col min="10245" max="10245" width="20" customWidth="1"/>
    <col min="10246" max="10246" width="15.1796875" bestFit="1" customWidth="1"/>
    <col min="10248" max="10248" width="10.54296875" bestFit="1" customWidth="1"/>
    <col min="10251" max="10251" width="10" bestFit="1" customWidth="1"/>
    <col min="10492" max="10492" width="43" bestFit="1" customWidth="1"/>
    <col min="10493" max="10493" width="10" bestFit="1" customWidth="1"/>
    <col min="10494" max="10494" width="20" customWidth="1"/>
    <col min="10495" max="10495" width="15.1796875" bestFit="1" customWidth="1"/>
    <col min="10496" max="10496" width="1.54296875" customWidth="1"/>
    <col min="10497" max="10497" width="13.453125" customWidth="1"/>
    <col min="10498" max="10498" width="46.1796875" customWidth="1"/>
    <col min="10499" max="10499" width="11.7265625" bestFit="1" customWidth="1"/>
    <col min="10500" max="10500" width="23.1796875" customWidth="1"/>
    <col min="10501" max="10501" width="20" customWidth="1"/>
    <col min="10502" max="10502" width="15.1796875" bestFit="1" customWidth="1"/>
    <col min="10504" max="10504" width="10.54296875" bestFit="1" customWidth="1"/>
    <col min="10507" max="10507" width="10" bestFit="1" customWidth="1"/>
    <col min="10748" max="10748" width="43" bestFit="1" customWidth="1"/>
    <col min="10749" max="10749" width="10" bestFit="1" customWidth="1"/>
    <col min="10750" max="10750" width="20" customWidth="1"/>
    <col min="10751" max="10751" width="15.1796875" bestFit="1" customWidth="1"/>
    <col min="10752" max="10752" width="1.54296875" customWidth="1"/>
    <col min="10753" max="10753" width="13.453125" customWidth="1"/>
    <col min="10754" max="10754" width="46.1796875" customWidth="1"/>
    <col min="10755" max="10755" width="11.7265625" bestFit="1" customWidth="1"/>
    <col min="10756" max="10756" width="23.1796875" customWidth="1"/>
    <col min="10757" max="10757" width="20" customWidth="1"/>
    <col min="10758" max="10758" width="15.1796875" bestFit="1" customWidth="1"/>
    <col min="10760" max="10760" width="10.54296875" bestFit="1" customWidth="1"/>
    <col min="10763" max="10763" width="10" bestFit="1" customWidth="1"/>
    <col min="11004" max="11004" width="43" bestFit="1" customWidth="1"/>
    <col min="11005" max="11005" width="10" bestFit="1" customWidth="1"/>
    <col min="11006" max="11006" width="20" customWidth="1"/>
    <col min="11007" max="11007" width="15.1796875" bestFit="1" customWidth="1"/>
    <col min="11008" max="11008" width="1.54296875" customWidth="1"/>
    <col min="11009" max="11009" width="13.453125" customWidth="1"/>
    <col min="11010" max="11010" width="46.1796875" customWidth="1"/>
    <col min="11011" max="11011" width="11.7265625" bestFit="1" customWidth="1"/>
    <col min="11012" max="11012" width="23.1796875" customWidth="1"/>
    <col min="11013" max="11013" width="20" customWidth="1"/>
    <col min="11014" max="11014" width="15.1796875" bestFit="1" customWidth="1"/>
    <col min="11016" max="11016" width="10.54296875" bestFit="1" customWidth="1"/>
    <col min="11019" max="11019" width="10" bestFit="1" customWidth="1"/>
    <col min="11260" max="11260" width="43" bestFit="1" customWidth="1"/>
    <col min="11261" max="11261" width="10" bestFit="1" customWidth="1"/>
    <col min="11262" max="11262" width="20" customWidth="1"/>
    <col min="11263" max="11263" width="15.1796875" bestFit="1" customWidth="1"/>
    <col min="11264" max="11264" width="1.54296875" customWidth="1"/>
    <col min="11265" max="11265" width="13.453125" customWidth="1"/>
    <col min="11266" max="11266" width="46.1796875" customWidth="1"/>
    <col min="11267" max="11267" width="11.7265625" bestFit="1" customWidth="1"/>
    <col min="11268" max="11268" width="23.1796875" customWidth="1"/>
    <col min="11269" max="11269" width="20" customWidth="1"/>
    <col min="11270" max="11270" width="15.1796875" bestFit="1" customWidth="1"/>
    <col min="11272" max="11272" width="10.54296875" bestFit="1" customWidth="1"/>
    <col min="11275" max="11275" width="10" bestFit="1" customWidth="1"/>
    <col min="11516" max="11516" width="43" bestFit="1" customWidth="1"/>
    <col min="11517" max="11517" width="10" bestFit="1" customWidth="1"/>
    <col min="11518" max="11518" width="20" customWidth="1"/>
    <col min="11519" max="11519" width="15.1796875" bestFit="1" customWidth="1"/>
    <col min="11520" max="11520" width="1.54296875" customWidth="1"/>
    <col min="11521" max="11521" width="13.453125" customWidth="1"/>
    <col min="11522" max="11522" width="46.1796875" customWidth="1"/>
    <col min="11523" max="11523" width="11.7265625" bestFit="1" customWidth="1"/>
    <col min="11524" max="11524" width="23.1796875" customWidth="1"/>
    <col min="11525" max="11525" width="20" customWidth="1"/>
    <col min="11526" max="11526" width="15.1796875" bestFit="1" customWidth="1"/>
    <col min="11528" max="11528" width="10.54296875" bestFit="1" customWidth="1"/>
    <col min="11531" max="11531" width="10" bestFit="1" customWidth="1"/>
    <col min="11772" max="11772" width="43" bestFit="1" customWidth="1"/>
    <col min="11773" max="11773" width="10" bestFit="1" customWidth="1"/>
    <col min="11774" max="11774" width="20" customWidth="1"/>
    <col min="11775" max="11775" width="15.1796875" bestFit="1" customWidth="1"/>
    <col min="11776" max="11776" width="1.54296875" customWidth="1"/>
    <col min="11777" max="11777" width="13.453125" customWidth="1"/>
    <col min="11778" max="11778" width="46.1796875" customWidth="1"/>
    <col min="11779" max="11779" width="11.7265625" bestFit="1" customWidth="1"/>
    <col min="11780" max="11780" width="23.1796875" customWidth="1"/>
    <col min="11781" max="11781" width="20" customWidth="1"/>
    <col min="11782" max="11782" width="15.1796875" bestFit="1" customWidth="1"/>
    <col min="11784" max="11784" width="10.54296875" bestFit="1" customWidth="1"/>
    <col min="11787" max="11787" width="10" bestFit="1" customWidth="1"/>
    <col min="12028" max="12028" width="43" bestFit="1" customWidth="1"/>
    <col min="12029" max="12029" width="10" bestFit="1" customWidth="1"/>
    <col min="12030" max="12030" width="20" customWidth="1"/>
    <col min="12031" max="12031" width="15.1796875" bestFit="1" customWidth="1"/>
    <col min="12032" max="12032" width="1.54296875" customWidth="1"/>
    <col min="12033" max="12033" width="13.453125" customWidth="1"/>
    <col min="12034" max="12034" width="46.1796875" customWidth="1"/>
    <col min="12035" max="12035" width="11.7265625" bestFit="1" customWidth="1"/>
    <col min="12036" max="12036" width="23.1796875" customWidth="1"/>
    <col min="12037" max="12037" width="20" customWidth="1"/>
    <col min="12038" max="12038" width="15.1796875" bestFit="1" customWidth="1"/>
    <col min="12040" max="12040" width="10.54296875" bestFit="1" customWidth="1"/>
    <col min="12043" max="12043" width="10" bestFit="1" customWidth="1"/>
    <col min="12284" max="12284" width="43" bestFit="1" customWidth="1"/>
    <col min="12285" max="12285" width="10" bestFit="1" customWidth="1"/>
    <col min="12286" max="12286" width="20" customWidth="1"/>
    <col min="12287" max="12287" width="15.1796875" bestFit="1" customWidth="1"/>
    <col min="12288" max="12288" width="1.54296875" customWidth="1"/>
    <col min="12289" max="12289" width="13.453125" customWidth="1"/>
    <col min="12290" max="12290" width="46.1796875" customWidth="1"/>
    <col min="12291" max="12291" width="11.7265625" bestFit="1" customWidth="1"/>
    <col min="12292" max="12292" width="23.1796875" customWidth="1"/>
    <col min="12293" max="12293" width="20" customWidth="1"/>
    <col min="12294" max="12294" width="15.1796875" bestFit="1" customWidth="1"/>
    <col min="12296" max="12296" width="10.54296875" bestFit="1" customWidth="1"/>
    <col min="12299" max="12299" width="10" bestFit="1" customWidth="1"/>
    <col min="12540" max="12540" width="43" bestFit="1" customWidth="1"/>
    <col min="12541" max="12541" width="10" bestFit="1" customWidth="1"/>
    <col min="12542" max="12542" width="20" customWidth="1"/>
    <col min="12543" max="12543" width="15.1796875" bestFit="1" customWidth="1"/>
    <col min="12544" max="12544" width="1.54296875" customWidth="1"/>
    <col min="12545" max="12545" width="13.453125" customWidth="1"/>
    <col min="12546" max="12546" width="46.1796875" customWidth="1"/>
    <col min="12547" max="12547" width="11.7265625" bestFit="1" customWidth="1"/>
    <col min="12548" max="12548" width="23.1796875" customWidth="1"/>
    <col min="12549" max="12549" width="20" customWidth="1"/>
    <col min="12550" max="12550" width="15.1796875" bestFit="1" customWidth="1"/>
    <col min="12552" max="12552" width="10.54296875" bestFit="1" customWidth="1"/>
    <col min="12555" max="12555" width="10" bestFit="1" customWidth="1"/>
    <col min="12796" max="12796" width="43" bestFit="1" customWidth="1"/>
    <col min="12797" max="12797" width="10" bestFit="1" customWidth="1"/>
    <col min="12798" max="12798" width="20" customWidth="1"/>
    <col min="12799" max="12799" width="15.1796875" bestFit="1" customWidth="1"/>
    <col min="12800" max="12800" width="1.54296875" customWidth="1"/>
    <col min="12801" max="12801" width="13.453125" customWidth="1"/>
    <col min="12802" max="12802" width="46.1796875" customWidth="1"/>
    <col min="12803" max="12803" width="11.7265625" bestFit="1" customWidth="1"/>
    <col min="12804" max="12804" width="23.1796875" customWidth="1"/>
    <col min="12805" max="12805" width="20" customWidth="1"/>
    <col min="12806" max="12806" width="15.1796875" bestFit="1" customWidth="1"/>
    <col min="12808" max="12808" width="10.54296875" bestFit="1" customWidth="1"/>
    <col min="12811" max="12811" width="10" bestFit="1" customWidth="1"/>
    <col min="13052" max="13052" width="43" bestFit="1" customWidth="1"/>
    <col min="13053" max="13053" width="10" bestFit="1" customWidth="1"/>
    <col min="13054" max="13054" width="20" customWidth="1"/>
    <col min="13055" max="13055" width="15.1796875" bestFit="1" customWidth="1"/>
    <col min="13056" max="13056" width="1.54296875" customWidth="1"/>
    <col min="13057" max="13057" width="13.453125" customWidth="1"/>
    <col min="13058" max="13058" width="46.1796875" customWidth="1"/>
    <col min="13059" max="13059" width="11.7265625" bestFit="1" customWidth="1"/>
    <col min="13060" max="13060" width="23.1796875" customWidth="1"/>
    <col min="13061" max="13061" width="20" customWidth="1"/>
    <col min="13062" max="13062" width="15.1796875" bestFit="1" customWidth="1"/>
    <col min="13064" max="13064" width="10.54296875" bestFit="1" customWidth="1"/>
    <col min="13067" max="13067" width="10" bestFit="1" customWidth="1"/>
    <col min="13308" max="13308" width="43" bestFit="1" customWidth="1"/>
    <col min="13309" max="13309" width="10" bestFit="1" customWidth="1"/>
    <col min="13310" max="13310" width="20" customWidth="1"/>
    <col min="13311" max="13311" width="15.1796875" bestFit="1" customWidth="1"/>
    <col min="13312" max="13312" width="1.54296875" customWidth="1"/>
    <col min="13313" max="13313" width="13.453125" customWidth="1"/>
    <col min="13314" max="13314" width="46.1796875" customWidth="1"/>
    <col min="13315" max="13315" width="11.7265625" bestFit="1" customWidth="1"/>
    <col min="13316" max="13316" width="23.1796875" customWidth="1"/>
    <col min="13317" max="13317" width="20" customWidth="1"/>
    <col min="13318" max="13318" width="15.1796875" bestFit="1" customWidth="1"/>
    <col min="13320" max="13320" width="10.54296875" bestFit="1" customWidth="1"/>
    <col min="13323" max="13323" width="10" bestFit="1" customWidth="1"/>
    <col min="13564" max="13564" width="43" bestFit="1" customWidth="1"/>
    <col min="13565" max="13565" width="10" bestFit="1" customWidth="1"/>
    <col min="13566" max="13566" width="20" customWidth="1"/>
    <col min="13567" max="13567" width="15.1796875" bestFit="1" customWidth="1"/>
    <col min="13568" max="13568" width="1.54296875" customWidth="1"/>
    <col min="13569" max="13569" width="13.453125" customWidth="1"/>
    <col min="13570" max="13570" width="46.1796875" customWidth="1"/>
    <col min="13571" max="13571" width="11.7265625" bestFit="1" customWidth="1"/>
    <col min="13572" max="13572" width="23.1796875" customWidth="1"/>
    <col min="13573" max="13573" width="20" customWidth="1"/>
    <col min="13574" max="13574" width="15.1796875" bestFit="1" customWidth="1"/>
    <col min="13576" max="13576" width="10.54296875" bestFit="1" customWidth="1"/>
    <col min="13579" max="13579" width="10" bestFit="1" customWidth="1"/>
    <col min="13820" max="13820" width="43" bestFit="1" customWidth="1"/>
    <col min="13821" max="13821" width="10" bestFit="1" customWidth="1"/>
    <col min="13822" max="13822" width="20" customWidth="1"/>
    <col min="13823" max="13823" width="15.1796875" bestFit="1" customWidth="1"/>
    <col min="13824" max="13824" width="1.54296875" customWidth="1"/>
    <col min="13825" max="13825" width="13.453125" customWidth="1"/>
    <col min="13826" max="13826" width="46.1796875" customWidth="1"/>
    <col min="13827" max="13827" width="11.7265625" bestFit="1" customWidth="1"/>
    <col min="13828" max="13828" width="23.1796875" customWidth="1"/>
    <col min="13829" max="13829" width="20" customWidth="1"/>
    <col min="13830" max="13830" width="15.1796875" bestFit="1" customWidth="1"/>
    <col min="13832" max="13832" width="10.54296875" bestFit="1" customWidth="1"/>
    <col min="13835" max="13835" width="10" bestFit="1" customWidth="1"/>
    <col min="14076" max="14076" width="43" bestFit="1" customWidth="1"/>
    <col min="14077" max="14077" width="10" bestFit="1" customWidth="1"/>
    <col min="14078" max="14078" width="20" customWidth="1"/>
    <col min="14079" max="14079" width="15.1796875" bestFit="1" customWidth="1"/>
    <col min="14080" max="14080" width="1.54296875" customWidth="1"/>
    <col min="14081" max="14081" width="13.453125" customWidth="1"/>
    <col min="14082" max="14082" width="46.1796875" customWidth="1"/>
    <col min="14083" max="14083" width="11.7265625" bestFit="1" customWidth="1"/>
    <col min="14084" max="14084" width="23.1796875" customWidth="1"/>
    <col min="14085" max="14085" width="20" customWidth="1"/>
    <col min="14086" max="14086" width="15.1796875" bestFit="1" customWidth="1"/>
    <col min="14088" max="14088" width="10.54296875" bestFit="1" customWidth="1"/>
    <col min="14091" max="14091" width="10" bestFit="1" customWidth="1"/>
    <col min="14332" max="14332" width="43" bestFit="1" customWidth="1"/>
    <col min="14333" max="14333" width="10" bestFit="1" customWidth="1"/>
    <col min="14334" max="14334" width="20" customWidth="1"/>
    <col min="14335" max="14335" width="15.1796875" bestFit="1" customWidth="1"/>
    <col min="14336" max="14336" width="1.54296875" customWidth="1"/>
    <col min="14337" max="14337" width="13.453125" customWidth="1"/>
    <col min="14338" max="14338" width="46.1796875" customWidth="1"/>
    <col min="14339" max="14339" width="11.7265625" bestFit="1" customWidth="1"/>
    <col min="14340" max="14340" width="23.1796875" customWidth="1"/>
    <col min="14341" max="14341" width="20" customWidth="1"/>
    <col min="14342" max="14342" width="15.1796875" bestFit="1" customWidth="1"/>
    <col min="14344" max="14344" width="10.54296875" bestFit="1" customWidth="1"/>
    <col min="14347" max="14347" width="10" bestFit="1" customWidth="1"/>
    <col min="14588" max="14588" width="43" bestFit="1" customWidth="1"/>
    <col min="14589" max="14589" width="10" bestFit="1" customWidth="1"/>
    <col min="14590" max="14590" width="20" customWidth="1"/>
    <col min="14591" max="14591" width="15.1796875" bestFit="1" customWidth="1"/>
    <col min="14592" max="14592" width="1.54296875" customWidth="1"/>
    <col min="14593" max="14593" width="13.453125" customWidth="1"/>
    <col min="14594" max="14594" width="46.1796875" customWidth="1"/>
    <col min="14595" max="14595" width="11.7265625" bestFit="1" customWidth="1"/>
    <col min="14596" max="14596" width="23.1796875" customWidth="1"/>
    <col min="14597" max="14597" width="20" customWidth="1"/>
    <col min="14598" max="14598" width="15.1796875" bestFit="1" customWidth="1"/>
    <col min="14600" max="14600" width="10.54296875" bestFit="1" customWidth="1"/>
    <col min="14603" max="14603" width="10" bestFit="1" customWidth="1"/>
    <col min="14844" max="14844" width="43" bestFit="1" customWidth="1"/>
    <col min="14845" max="14845" width="10" bestFit="1" customWidth="1"/>
    <col min="14846" max="14846" width="20" customWidth="1"/>
    <col min="14847" max="14847" width="15.1796875" bestFit="1" customWidth="1"/>
    <col min="14848" max="14848" width="1.54296875" customWidth="1"/>
    <col min="14849" max="14849" width="13.453125" customWidth="1"/>
    <col min="14850" max="14850" width="46.1796875" customWidth="1"/>
    <col min="14851" max="14851" width="11.7265625" bestFit="1" customWidth="1"/>
    <col min="14852" max="14852" width="23.1796875" customWidth="1"/>
    <col min="14853" max="14853" width="20" customWidth="1"/>
    <col min="14854" max="14854" width="15.1796875" bestFit="1" customWidth="1"/>
    <col min="14856" max="14856" width="10.54296875" bestFit="1" customWidth="1"/>
    <col min="14859" max="14859" width="10" bestFit="1" customWidth="1"/>
    <col min="15100" max="15100" width="43" bestFit="1" customWidth="1"/>
    <col min="15101" max="15101" width="10" bestFit="1" customWidth="1"/>
    <col min="15102" max="15102" width="20" customWidth="1"/>
    <col min="15103" max="15103" width="15.1796875" bestFit="1" customWidth="1"/>
    <col min="15104" max="15104" width="1.54296875" customWidth="1"/>
    <col min="15105" max="15105" width="13.453125" customWidth="1"/>
    <col min="15106" max="15106" width="46.1796875" customWidth="1"/>
    <col min="15107" max="15107" width="11.7265625" bestFit="1" customWidth="1"/>
    <col min="15108" max="15108" width="23.1796875" customWidth="1"/>
    <col min="15109" max="15109" width="20" customWidth="1"/>
    <col min="15110" max="15110" width="15.1796875" bestFit="1" customWidth="1"/>
    <col min="15112" max="15112" width="10.54296875" bestFit="1" customWidth="1"/>
    <col min="15115" max="15115" width="10" bestFit="1" customWidth="1"/>
    <col min="15356" max="15356" width="43" bestFit="1" customWidth="1"/>
    <col min="15357" max="15357" width="10" bestFit="1" customWidth="1"/>
    <col min="15358" max="15358" width="20" customWidth="1"/>
    <col min="15359" max="15359" width="15.1796875" bestFit="1" customWidth="1"/>
    <col min="15360" max="15360" width="1.54296875" customWidth="1"/>
    <col min="15361" max="15361" width="13.453125" customWidth="1"/>
    <col min="15362" max="15362" width="46.1796875" customWidth="1"/>
    <col min="15363" max="15363" width="11.7265625" bestFit="1" customWidth="1"/>
    <col min="15364" max="15364" width="23.1796875" customWidth="1"/>
    <col min="15365" max="15365" width="20" customWidth="1"/>
    <col min="15366" max="15366" width="15.1796875" bestFit="1" customWidth="1"/>
    <col min="15368" max="15368" width="10.54296875" bestFit="1" customWidth="1"/>
    <col min="15371" max="15371" width="10" bestFit="1" customWidth="1"/>
    <col min="15612" max="15612" width="43" bestFit="1" customWidth="1"/>
    <col min="15613" max="15613" width="10" bestFit="1" customWidth="1"/>
    <col min="15614" max="15614" width="20" customWidth="1"/>
    <col min="15615" max="15615" width="15.1796875" bestFit="1" customWidth="1"/>
    <col min="15616" max="15616" width="1.54296875" customWidth="1"/>
    <col min="15617" max="15617" width="13.453125" customWidth="1"/>
    <col min="15618" max="15618" width="46.1796875" customWidth="1"/>
    <col min="15619" max="15619" width="11.7265625" bestFit="1" customWidth="1"/>
    <col min="15620" max="15620" width="23.1796875" customWidth="1"/>
    <col min="15621" max="15621" width="20" customWidth="1"/>
    <col min="15622" max="15622" width="15.1796875" bestFit="1" customWidth="1"/>
    <col min="15624" max="15624" width="10.54296875" bestFit="1" customWidth="1"/>
    <col min="15627" max="15627" width="10" bestFit="1" customWidth="1"/>
    <col min="15868" max="15868" width="43" bestFit="1" customWidth="1"/>
    <col min="15869" max="15869" width="10" bestFit="1" customWidth="1"/>
    <col min="15870" max="15870" width="20" customWidth="1"/>
    <col min="15871" max="15871" width="15.1796875" bestFit="1" customWidth="1"/>
    <col min="15872" max="15872" width="1.54296875" customWidth="1"/>
    <col min="15873" max="15873" width="13.453125" customWidth="1"/>
    <col min="15874" max="15874" width="46.1796875" customWidth="1"/>
    <col min="15875" max="15875" width="11.7265625" bestFit="1" customWidth="1"/>
    <col min="15876" max="15876" width="23.1796875" customWidth="1"/>
    <col min="15877" max="15877" width="20" customWidth="1"/>
    <col min="15878" max="15878" width="15.1796875" bestFit="1" customWidth="1"/>
    <col min="15880" max="15880" width="10.54296875" bestFit="1" customWidth="1"/>
    <col min="15883" max="15883" width="10" bestFit="1" customWidth="1"/>
    <col min="16124" max="16124" width="43" bestFit="1" customWidth="1"/>
    <col min="16125" max="16125" width="10" bestFit="1" customWidth="1"/>
    <col min="16126" max="16126" width="20" customWidth="1"/>
    <col min="16127" max="16127" width="15.1796875" bestFit="1" customWidth="1"/>
    <col min="16128" max="16128" width="1.54296875" customWidth="1"/>
    <col min="16129" max="16129" width="13.453125" customWidth="1"/>
    <col min="16130" max="16130" width="46.1796875" customWidth="1"/>
    <col min="16131" max="16131" width="11.7265625" bestFit="1" customWidth="1"/>
    <col min="16132" max="16132" width="23.1796875" customWidth="1"/>
    <col min="16133" max="16133" width="20" customWidth="1"/>
    <col min="16134" max="16134" width="15.1796875" bestFit="1" customWidth="1"/>
    <col min="16136" max="16136" width="10.54296875" bestFit="1" customWidth="1"/>
    <col min="16139" max="16139" width="10" bestFit="1" customWidth="1"/>
  </cols>
  <sheetData>
    <row r="1" spans="1:11" ht="59" customHeight="1" x14ac:dyDescent="0.35">
      <c r="C1" s="1" t="s">
        <v>0</v>
      </c>
      <c r="D1" s="1"/>
      <c r="E1" s="1"/>
      <c r="F1" s="1"/>
      <c r="H1" s="2" t="s">
        <v>1</v>
      </c>
      <c r="I1" s="3" t="s">
        <v>2</v>
      </c>
      <c r="J1" t="s">
        <v>3</v>
      </c>
    </row>
    <row r="2" spans="1:11" x14ac:dyDescent="0.35">
      <c r="B2" s="4" t="s">
        <v>4</v>
      </c>
      <c r="C2" t="s">
        <v>5</v>
      </c>
      <c r="E2" s="4" t="s">
        <v>6</v>
      </c>
      <c r="F2" s="4" t="s">
        <v>7</v>
      </c>
      <c r="G2" s="4" t="s">
        <v>8</v>
      </c>
      <c r="H2" s="6"/>
      <c r="I2" s="6"/>
    </row>
    <row r="3" spans="1:11" x14ac:dyDescent="0.35">
      <c r="A3" s="7" t="s">
        <v>9</v>
      </c>
      <c r="C3" s="8">
        <f>SUM(C4:C8)</f>
        <v>36905</v>
      </c>
      <c r="D3" s="9"/>
      <c r="E3" s="10">
        <f>C3/C72</f>
        <v>9.862320087484297E-2</v>
      </c>
      <c r="F3" s="11">
        <f t="shared" ref="F3:F8" si="0">C3/2776</f>
        <v>13.294308357348703</v>
      </c>
      <c r="H3" s="12"/>
      <c r="I3" s="12">
        <f>SUM(I4:I8)</f>
        <v>40138.781999999999</v>
      </c>
      <c r="J3" s="13">
        <f>SUM(J4:J8)</f>
        <v>3233.7820000000011</v>
      </c>
      <c r="K3" s="14">
        <f>J4+J7+J8</f>
        <v>471.38199999999961</v>
      </c>
    </row>
    <row r="4" spans="1:11" x14ac:dyDescent="0.35">
      <c r="B4" s="15" t="s">
        <v>10</v>
      </c>
      <c r="C4" s="16">
        <v>4500</v>
      </c>
      <c r="D4" s="16" t="s">
        <v>121</v>
      </c>
      <c r="E4" s="17">
        <f>C4/C72</f>
        <v>1.2025590135125143E-2</v>
      </c>
      <c r="F4" s="18">
        <f t="shared" si="0"/>
        <v>1.6210374639769451</v>
      </c>
      <c r="G4" s="19">
        <f>4692.382+200</f>
        <v>4892.3819999999996</v>
      </c>
      <c r="H4" s="20">
        <v>0</v>
      </c>
      <c r="I4" s="20">
        <f>G4+H4</f>
        <v>4892.3819999999996</v>
      </c>
      <c r="J4" s="16">
        <f>G4-C4</f>
        <v>392.38199999999961</v>
      </c>
    </row>
    <row r="5" spans="1:11" x14ac:dyDescent="0.35">
      <c r="B5" s="15" t="s">
        <v>11</v>
      </c>
      <c r="C5" s="16">
        <v>0</v>
      </c>
      <c r="D5" s="16" t="s">
        <v>12</v>
      </c>
      <c r="E5" s="17">
        <f>C5/C72</f>
        <v>0</v>
      </c>
      <c r="F5" s="18">
        <f t="shared" si="0"/>
        <v>0</v>
      </c>
      <c r="G5" s="15"/>
      <c r="H5" s="21">
        <v>0</v>
      </c>
      <c r="I5" s="20">
        <f t="shared" ref="I5:I8" si="1">G5+H5</f>
        <v>0</v>
      </c>
      <c r="J5" s="16">
        <f t="shared" ref="J5:J68" si="2">G5-C5</f>
        <v>0</v>
      </c>
    </row>
    <row r="6" spans="1:11" x14ac:dyDescent="0.35">
      <c r="B6" s="15" t="s">
        <v>13</v>
      </c>
      <c r="C6" s="16">
        <f>12364+9065+8400</f>
        <v>29829</v>
      </c>
      <c r="D6" s="16" t="s">
        <v>14</v>
      </c>
      <c r="E6" s="17">
        <f>C6/C72</f>
        <v>7.971362847569953E-2</v>
      </c>
      <c r="F6" s="18">
        <f t="shared" si="0"/>
        <v>10.745317002881844</v>
      </c>
      <c r="G6" s="19">
        <v>14839</v>
      </c>
      <c r="H6" s="20">
        <v>17752.400000000001</v>
      </c>
      <c r="I6" s="20">
        <f>G6+H6</f>
        <v>32591.4</v>
      </c>
      <c r="J6" s="14">
        <f>I6-C6</f>
        <v>2762.4000000000015</v>
      </c>
    </row>
    <row r="7" spans="1:11" x14ac:dyDescent="0.35">
      <c r="B7" s="15" t="s">
        <v>15</v>
      </c>
      <c r="C7" s="16">
        <v>2000</v>
      </c>
      <c r="D7" s="16" t="s">
        <v>16</v>
      </c>
      <c r="E7" s="17">
        <f>C7/C72</f>
        <v>5.3447067267222859E-3</v>
      </c>
      <c r="F7" s="18">
        <f t="shared" si="0"/>
        <v>0.72046109510086453</v>
      </c>
      <c r="G7" s="19">
        <f>497+1290+290</f>
        <v>2077</v>
      </c>
      <c r="H7" s="21">
        <v>0</v>
      </c>
      <c r="I7" s="20">
        <f t="shared" si="1"/>
        <v>2077</v>
      </c>
      <c r="J7" s="16">
        <f t="shared" si="2"/>
        <v>77</v>
      </c>
    </row>
    <row r="8" spans="1:11" x14ac:dyDescent="0.35">
      <c r="B8" s="15" t="s">
        <v>17</v>
      </c>
      <c r="C8" s="16">
        <v>576</v>
      </c>
      <c r="D8" s="16" t="s">
        <v>18</v>
      </c>
      <c r="E8" s="17">
        <f>C8/C72</f>
        <v>1.5392755372960183E-3</v>
      </c>
      <c r="F8" s="18">
        <f t="shared" si="0"/>
        <v>0.207492795389049</v>
      </c>
      <c r="G8" s="19">
        <v>578</v>
      </c>
      <c r="H8" s="21">
        <v>0</v>
      </c>
      <c r="I8" s="20">
        <f t="shared" si="1"/>
        <v>578</v>
      </c>
      <c r="J8" s="16">
        <f t="shared" si="2"/>
        <v>2</v>
      </c>
    </row>
    <row r="9" spans="1:11" x14ac:dyDescent="0.35">
      <c r="C9" s="14"/>
      <c r="D9" s="22"/>
      <c r="E9" s="23"/>
      <c r="F9" s="24"/>
      <c r="H9" s="6"/>
      <c r="I9" s="6"/>
      <c r="J9" s="14">
        <f t="shared" si="2"/>
        <v>0</v>
      </c>
    </row>
    <row r="10" spans="1:11" x14ac:dyDescent="0.35">
      <c r="A10" s="7" t="s">
        <v>19</v>
      </c>
      <c r="C10" s="8">
        <f>SUM(C11:C17)</f>
        <v>37662.5</v>
      </c>
      <c r="D10" s="9"/>
      <c r="E10" s="10">
        <f>C10/C72</f>
        <v>0.10064750854758904</v>
      </c>
      <c r="F10" s="11">
        <f>C10/2776</f>
        <v>13.567182997118156</v>
      </c>
      <c r="H10" s="12"/>
      <c r="I10" s="12">
        <f>SUM(I11:I17)</f>
        <v>37561.75</v>
      </c>
      <c r="J10" s="13">
        <f>I10-C10</f>
        <v>-100.75</v>
      </c>
    </row>
    <row r="11" spans="1:11" x14ac:dyDescent="0.35">
      <c r="B11" s="25" t="s">
        <v>20</v>
      </c>
      <c r="C11" s="16">
        <v>1995</v>
      </c>
      <c r="D11" s="16" t="s">
        <v>21</v>
      </c>
      <c r="E11" s="17">
        <f>C11/C72</f>
        <v>5.3313449599054798E-3</v>
      </c>
      <c r="F11" s="18">
        <f>C11/2776</f>
        <v>0.71865994236311237</v>
      </c>
      <c r="G11" s="19">
        <v>695</v>
      </c>
      <c r="H11" s="20">
        <v>0</v>
      </c>
      <c r="I11" s="20">
        <f>G11+H11</f>
        <v>695</v>
      </c>
      <c r="J11" s="16">
        <f t="shared" si="2"/>
        <v>-1300</v>
      </c>
    </row>
    <row r="12" spans="1:11" x14ac:dyDescent="0.35">
      <c r="B12" s="26" t="s">
        <v>22</v>
      </c>
      <c r="C12" s="16">
        <f>24970.5</f>
        <v>24970.5</v>
      </c>
      <c r="D12" s="16" t="s">
        <v>21</v>
      </c>
      <c r="E12" s="17">
        <f>C12/C72</f>
        <v>6.6729999659809414E-2</v>
      </c>
      <c r="F12" s="18">
        <f>C12/2776</f>
        <v>8.9951368876080693</v>
      </c>
      <c r="G12" s="19">
        <v>24971</v>
      </c>
      <c r="H12" s="20">
        <v>0</v>
      </c>
      <c r="I12" s="20">
        <f t="shared" ref="I12:I17" si="3">G12+H12</f>
        <v>24971</v>
      </c>
      <c r="J12" s="16">
        <f t="shared" si="2"/>
        <v>0.5</v>
      </c>
      <c r="K12" s="14"/>
    </row>
    <row r="13" spans="1:11" x14ac:dyDescent="0.35">
      <c r="B13" s="26" t="s">
        <v>23</v>
      </c>
      <c r="C13" s="16">
        <v>2552</v>
      </c>
      <c r="D13" s="16" t="s">
        <v>21</v>
      </c>
      <c r="E13" s="17" t="e">
        <f>C13/C73</f>
        <v>#DIV/0!</v>
      </c>
      <c r="F13" s="18">
        <f>C13/2776</f>
        <v>0.9193083573487032</v>
      </c>
      <c r="G13" s="19">
        <v>3347</v>
      </c>
      <c r="H13" s="20">
        <v>0</v>
      </c>
      <c r="I13" s="20">
        <f t="shared" si="3"/>
        <v>3347</v>
      </c>
      <c r="J13" s="16">
        <f>I13-C13</f>
        <v>795</v>
      </c>
      <c r="K13" s="14"/>
    </row>
    <row r="14" spans="1:11" x14ac:dyDescent="0.35">
      <c r="B14" s="26" t="s">
        <v>24</v>
      </c>
      <c r="C14" s="16">
        <f>170*25</f>
        <v>4250</v>
      </c>
      <c r="D14" s="16" t="s">
        <v>21</v>
      </c>
      <c r="E14" s="17"/>
      <c r="F14" s="18"/>
      <c r="G14" s="19">
        <v>4420</v>
      </c>
      <c r="H14" s="20">
        <v>0</v>
      </c>
      <c r="I14" s="20">
        <f t="shared" si="3"/>
        <v>4420</v>
      </c>
      <c r="J14" s="16">
        <f>G14-C14</f>
        <v>170</v>
      </c>
      <c r="K14" s="14"/>
    </row>
    <row r="15" spans="1:11" x14ac:dyDescent="0.35">
      <c r="B15" s="26" t="s">
        <v>25</v>
      </c>
      <c r="C15" s="16">
        <v>2300</v>
      </c>
      <c r="D15" s="16" t="s">
        <v>21</v>
      </c>
      <c r="E15" s="17"/>
      <c r="F15" s="18"/>
      <c r="G15" s="19">
        <v>3045</v>
      </c>
      <c r="H15" s="20">
        <v>0</v>
      </c>
      <c r="I15" s="20">
        <f t="shared" si="3"/>
        <v>3045</v>
      </c>
      <c r="J15" s="16">
        <f>I15-C15</f>
        <v>745</v>
      </c>
      <c r="K15" s="14"/>
    </row>
    <row r="16" spans="1:11" x14ac:dyDescent="0.35">
      <c r="B16" s="26" t="s">
        <v>26</v>
      </c>
      <c r="C16" s="16">
        <v>1000</v>
      </c>
      <c r="D16" s="16" t="s">
        <v>21</v>
      </c>
      <c r="E16" s="17"/>
      <c r="F16" s="18"/>
      <c r="G16" s="19">
        <v>488.75</v>
      </c>
      <c r="H16" s="20">
        <v>0</v>
      </c>
      <c r="I16" s="20">
        <f t="shared" si="3"/>
        <v>488.75</v>
      </c>
      <c r="J16" s="16">
        <f t="shared" ref="J16" si="4">G16-C16</f>
        <v>-511.25</v>
      </c>
      <c r="K16" s="14"/>
    </row>
    <row r="17" spans="1:11" x14ac:dyDescent="0.35">
      <c r="B17" s="26" t="s">
        <v>27</v>
      </c>
      <c r="C17" s="16">
        <v>595</v>
      </c>
      <c r="D17" s="16" t="s">
        <v>21</v>
      </c>
      <c r="E17" s="17">
        <f>C17/C72</f>
        <v>1.5900502511998799E-3</v>
      </c>
      <c r="F17" s="18">
        <f>C17/2776</f>
        <v>0.21433717579250722</v>
      </c>
      <c r="G17" s="19">
        <v>595</v>
      </c>
      <c r="H17" s="20">
        <v>0</v>
      </c>
      <c r="I17" s="20">
        <f t="shared" si="3"/>
        <v>595</v>
      </c>
      <c r="J17" s="16">
        <f>I17-C17</f>
        <v>0</v>
      </c>
      <c r="K17" s="14"/>
    </row>
    <row r="18" spans="1:11" x14ac:dyDescent="0.35">
      <c r="A18" s="7" t="s">
        <v>28</v>
      </c>
      <c r="C18" s="14"/>
      <c r="D18" s="22"/>
      <c r="E18" s="23"/>
      <c r="F18" s="24"/>
      <c r="H18" s="6"/>
      <c r="I18" s="6"/>
      <c r="J18" s="14">
        <f t="shared" si="2"/>
        <v>0</v>
      </c>
    </row>
    <row r="19" spans="1:11" x14ac:dyDescent="0.35">
      <c r="C19" s="8">
        <f>SUM(C20:C26)</f>
        <v>72915</v>
      </c>
      <c r="D19" s="9"/>
      <c r="E19" s="10">
        <f>C19/C72</f>
        <v>0.19485464548947773</v>
      </c>
      <c r="F19" s="11">
        <f t="shared" ref="F19:F26" si="5">C19/2776</f>
        <v>26.266210374639769</v>
      </c>
      <c r="H19" s="12"/>
      <c r="I19" s="12">
        <f>SUM(I20:I21)</f>
        <v>76222.44</v>
      </c>
      <c r="J19" s="13">
        <f>I19-C19</f>
        <v>3307.4400000000023</v>
      </c>
    </row>
    <row r="20" spans="1:11" x14ac:dyDescent="0.35">
      <c r="B20" s="26" t="s">
        <v>29</v>
      </c>
      <c r="C20" s="16">
        <v>50300</v>
      </c>
      <c r="D20" s="16" t="s">
        <v>30</v>
      </c>
      <c r="E20" s="27">
        <f>C20/C72</f>
        <v>0.13441937417706548</v>
      </c>
      <c r="F20" s="18">
        <f t="shared" si="5"/>
        <v>18.119596541786745</v>
      </c>
      <c r="G20" s="19">
        <v>51582.44</v>
      </c>
      <c r="H20" s="20">
        <v>0</v>
      </c>
      <c r="I20" s="20">
        <f>G20+H20</f>
        <v>51582.44</v>
      </c>
      <c r="J20" s="16">
        <f>I20-C20</f>
        <v>1282.4400000000023</v>
      </c>
    </row>
    <row r="21" spans="1:11" x14ac:dyDescent="0.35">
      <c r="B21" s="26" t="s">
        <v>31</v>
      </c>
      <c r="C21" s="16">
        <v>22615</v>
      </c>
      <c r="D21" s="16" t="s">
        <v>32</v>
      </c>
      <c r="E21" s="27">
        <f>C21/C72</f>
        <v>6.0435271312412241E-2</v>
      </c>
      <c r="F21" s="18">
        <f>C21/2776</f>
        <v>8.146613832853026</v>
      </c>
      <c r="G21" s="19">
        <v>24640</v>
      </c>
      <c r="H21" s="20">
        <v>0</v>
      </c>
      <c r="I21" s="20">
        <f>G21+H21</f>
        <v>24640</v>
      </c>
      <c r="J21" s="16">
        <f>I21-C21</f>
        <v>2025</v>
      </c>
    </row>
    <row r="22" spans="1:11" x14ac:dyDescent="0.35">
      <c r="B22" s="26" t="s">
        <v>33</v>
      </c>
      <c r="C22" s="16">
        <v>0</v>
      </c>
      <c r="D22" s="16"/>
      <c r="E22" s="27">
        <f>C22/C72</f>
        <v>0</v>
      </c>
      <c r="F22" s="18">
        <f t="shared" si="5"/>
        <v>0</v>
      </c>
      <c r="G22" s="15"/>
      <c r="H22" s="6"/>
      <c r="I22" s="6"/>
      <c r="J22" s="16">
        <f t="shared" si="2"/>
        <v>0</v>
      </c>
    </row>
    <row r="23" spans="1:11" x14ac:dyDescent="0.35">
      <c r="B23" s="26" t="s">
        <v>34</v>
      </c>
      <c r="C23" s="16">
        <v>0</v>
      </c>
      <c r="D23" s="16"/>
      <c r="E23" s="27">
        <f>C23/C72</f>
        <v>0</v>
      </c>
      <c r="F23" s="18">
        <f t="shared" si="5"/>
        <v>0</v>
      </c>
      <c r="G23" s="15"/>
      <c r="H23" s="6"/>
      <c r="I23" s="6"/>
      <c r="J23" s="16">
        <f t="shared" si="2"/>
        <v>0</v>
      </c>
    </row>
    <row r="24" spans="1:11" x14ac:dyDescent="0.35">
      <c r="B24" s="26" t="s">
        <v>35</v>
      </c>
      <c r="C24" s="16">
        <v>0</v>
      </c>
      <c r="D24" s="16"/>
      <c r="E24" s="27">
        <f>C24/C72</f>
        <v>0</v>
      </c>
      <c r="F24" s="18">
        <f t="shared" si="5"/>
        <v>0</v>
      </c>
      <c r="G24" s="15"/>
      <c r="H24" s="6"/>
      <c r="I24" s="6"/>
      <c r="J24" s="16">
        <f t="shared" si="2"/>
        <v>0</v>
      </c>
    </row>
    <row r="25" spans="1:11" x14ac:dyDescent="0.35">
      <c r="B25" s="26" t="s">
        <v>36</v>
      </c>
      <c r="C25" s="16">
        <v>0</v>
      </c>
      <c r="D25" s="16"/>
      <c r="E25" s="27">
        <f>C25/C72</f>
        <v>0</v>
      </c>
      <c r="F25" s="18">
        <f t="shared" si="5"/>
        <v>0</v>
      </c>
      <c r="G25" s="15"/>
      <c r="H25" s="6"/>
      <c r="I25" s="6"/>
      <c r="J25" s="16">
        <f t="shared" si="2"/>
        <v>0</v>
      </c>
    </row>
    <row r="26" spans="1:11" x14ac:dyDescent="0.35">
      <c r="B26" s="26" t="s">
        <v>37</v>
      </c>
      <c r="C26" s="16">
        <v>0</v>
      </c>
      <c r="D26" s="16"/>
      <c r="E26" s="27">
        <f>C26/C72</f>
        <v>0</v>
      </c>
      <c r="F26" s="18">
        <f t="shared" si="5"/>
        <v>0</v>
      </c>
      <c r="G26" s="15"/>
      <c r="H26" s="6"/>
      <c r="I26" s="6"/>
      <c r="J26" s="16">
        <f t="shared" si="2"/>
        <v>0</v>
      </c>
    </row>
    <row r="27" spans="1:11" x14ac:dyDescent="0.35">
      <c r="A27" s="7" t="s">
        <v>38</v>
      </c>
      <c r="C27" s="14"/>
      <c r="D27" s="22"/>
      <c r="E27" s="23"/>
      <c r="F27" s="24"/>
      <c r="H27" s="6"/>
      <c r="I27" s="6"/>
      <c r="J27" s="14">
        <f t="shared" si="2"/>
        <v>0</v>
      </c>
    </row>
    <row r="28" spans="1:11" x14ac:dyDescent="0.35">
      <c r="C28" s="8">
        <f>SUM(C29:C35)</f>
        <v>75923</v>
      </c>
      <c r="D28" s="9"/>
      <c r="E28" s="10">
        <f>C28/C72</f>
        <v>0.20289308440646805</v>
      </c>
      <c r="F28" s="11">
        <f t="shared" ref="F28:F35" si="6">C28/2776</f>
        <v>27.349783861671469</v>
      </c>
      <c r="H28" s="12"/>
      <c r="I28" s="12">
        <f>SUM(I29:I34)</f>
        <v>74987.81</v>
      </c>
      <c r="J28" s="13">
        <f>I28-C28</f>
        <v>-935.19000000000233</v>
      </c>
    </row>
    <row r="29" spans="1:11" x14ac:dyDescent="0.35">
      <c r="B29" s="26" t="s">
        <v>39</v>
      </c>
      <c r="C29" s="16">
        <f>25490+875</f>
        <v>26365</v>
      </c>
      <c r="D29" s="16" t="s">
        <v>40</v>
      </c>
      <c r="E29" s="27">
        <f>C29/C72</f>
        <v>7.0456596425016532E-2</v>
      </c>
      <c r="F29" s="18">
        <f t="shared" si="6"/>
        <v>9.4974783861671472</v>
      </c>
      <c r="G29" s="19">
        <v>26366</v>
      </c>
      <c r="H29" s="28">
        <v>0</v>
      </c>
      <c r="I29" s="28">
        <f>H29+G29</f>
        <v>26366</v>
      </c>
      <c r="J29" s="16">
        <f>I29-C29</f>
        <v>1</v>
      </c>
    </row>
    <row r="30" spans="1:11" x14ac:dyDescent="0.35">
      <c r="B30" s="26" t="s">
        <v>41</v>
      </c>
      <c r="C30" s="16">
        <v>19184</v>
      </c>
      <c r="D30" s="16" t="s">
        <v>42</v>
      </c>
      <c r="E30" s="27">
        <f>C30/C72</f>
        <v>5.1266426922720161E-2</v>
      </c>
      <c r="F30" s="18">
        <f t="shared" si="6"/>
        <v>6.9106628242074928</v>
      </c>
      <c r="G30" s="19">
        <v>18729</v>
      </c>
      <c r="H30" s="28">
        <v>0</v>
      </c>
      <c r="I30" s="28">
        <f>G30+H30</f>
        <v>18729</v>
      </c>
      <c r="J30" s="16">
        <f t="shared" ref="J30:J31" si="7">I30-C30</f>
        <v>-455</v>
      </c>
    </row>
    <row r="31" spans="1:11" x14ac:dyDescent="0.35">
      <c r="B31" s="26" t="s">
        <v>43</v>
      </c>
      <c r="C31" s="16">
        <v>23669</v>
      </c>
      <c r="D31" s="16" t="s">
        <v>44</v>
      </c>
      <c r="E31" s="27">
        <f>C31/C72</f>
        <v>6.3251931757394894E-2</v>
      </c>
      <c r="F31" s="18">
        <f t="shared" si="6"/>
        <v>8.5262968299711819</v>
      </c>
      <c r="G31" s="19">
        <v>24246</v>
      </c>
      <c r="H31" s="28">
        <v>0</v>
      </c>
      <c r="I31" s="28">
        <f t="shared" ref="I31" si="8">H31+G31</f>
        <v>24246</v>
      </c>
      <c r="J31" s="16">
        <f t="shared" si="7"/>
        <v>577</v>
      </c>
    </row>
    <row r="32" spans="1:11" x14ac:dyDescent="0.35">
      <c r="B32" s="26" t="s">
        <v>45</v>
      </c>
      <c r="C32" s="16">
        <f>2505+1200</f>
        <v>3705</v>
      </c>
      <c r="D32" s="16" t="s">
        <v>46</v>
      </c>
      <c r="E32" s="27">
        <f>C32/C72</f>
        <v>9.9010692112530344E-3</v>
      </c>
      <c r="F32" s="18">
        <f t="shared" si="6"/>
        <v>1.3346541786743515</v>
      </c>
      <c r="G32" s="19">
        <v>2643</v>
      </c>
      <c r="H32" s="28">
        <v>0</v>
      </c>
      <c r="I32" s="28">
        <f>G32+H32</f>
        <v>2643</v>
      </c>
      <c r="J32" s="16">
        <f>I32-C32</f>
        <v>-1062</v>
      </c>
    </row>
    <row r="33" spans="1:11" x14ac:dyDescent="0.35">
      <c r="B33" s="26" t="s">
        <v>47</v>
      </c>
      <c r="C33" s="16">
        <v>1500</v>
      </c>
      <c r="D33" s="16" t="s">
        <v>48</v>
      </c>
      <c r="E33" s="27">
        <f>C33/C72</f>
        <v>4.008530045041714E-3</v>
      </c>
      <c r="F33" s="18">
        <f t="shared" si="6"/>
        <v>0.54034582132564846</v>
      </c>
      <c r="G33" s="19">
        <v>1815</v>
      </c>
      <c r="H33" s="28">
        <v>0</v>
      </c>
      <c r="I33" s="28">
        <f>H33+G33</f>
        <v>1815</v>
      </c>
      <c r="J33" s="16">
        <f>I33-C33</f>
        <v>315</v>
      </c>
    </row>
    <row r="34" spans="1:11" x14ac:dyDescent="0.35">
      <c r="B34" s="26" t="s">
        <v>49</v>
      </c>
      <c r="C34" s="16">
        <v>1500</v>
      </c>
      <c r="D34" s="16" t="s">
        <v>50</v>
      </c>
      <c r="E34" s="27">
        <f>C34/C72</f>
        <v>4.008530045041714E-3</v>
      </c>
      <c r="F34" s="18">
        <f t="shared" si="6"/>
        <v>0.54034582132564846</v>
      </c>
      <c r="G34" s="19">
        <v>1188.81</v>
      </c>
      <c r="H34" s="28">
        <v>0</v>
      </c>
      <c r="I34" s="28">
        <f>G34</f>
        <v>1188.81</v>
      </c>
      <c r="J34" s="16">
        <f t="shared" si="2"/>
        <v>-311.19000000000005</v>
      </c>
    </row>
    <row r="35" spans="1:11" x14ac:dyDescent="0.35">
      <c r="B35" s="4" t="s">
        <v>37</v>
      </c>
      <c r="C35" s="14">
        <v>0</v>
      </c>
      <c r="D35" s="22"/>
      <c r="E35" s="29">
        <f>C35/C72</f>
        <v>0</v>
      </c>
      <c r="F35" s="24">
        <f t="shared" si="6"/>
        <v>0</v>
      </c>
      <c r="H35" s="6"/>
      <c r="I35" s="6"/>
      <c r="J35" s="14">
        <f t="shared" si="2"/>
        <v>0</v>
      </c>
    </row>
    <row r="36" spans="1:11" x14ac:dyDescent="0.35">
      <c r="A36" s="7" t="s">
        <v>51</v>
      </c>
      <c r="C36" s="14"/>
      <c r="D36" s="22" t="s">
        <v>4</v>
      </c>
      <c r="E36" s="23"/>
      <c r="F36" s="24"/>
      <c r="H36" s="6"/>
      <c r="I36" s="6"/>
      <c r="J36" s="14">
        <f t="shared" si="2"/>
        <v>0</v>
      </c>
    </row>
    <row r="37" spans="1:11" x14ac:dyDescent="0.35">
      <c r="C37" s="8">
        <f>SUM(C38:C43)</f>
        <v>57382</v>
      </c>
      <c r="D37" s="9"/>
      <c r="E37" s="10">
        <f>C37/C72</f>
        <v>0.1533449806963891</v>
      </c>
      <c r="F37" s="11">
        <f t="shared" ref="F37:F43" si="9">C37/2776</f>
        <v>20.670749279538907</v>
      </c>
      <c r="H37" s="12"/>
      <c r="I37" s="12">
        <f>SUM(I38:I43)</f>
        <v>59229.84</v>
      </c>
      <c r="J37" s="13">
        <f>I37-C37</f>
        <v>1847.8399999999965</v>
      </c>
    </row>
    <row r="38" spans="1:11" x14ac:dyDescent="0.35">
      <c r="B38" s="30" t="s">
        <v>52</v>
      </c>
      <c r="C38" s="31">
        <v>19298</v>
      </c>
      <c r="D38" s="31" t="s">
        <v>53</v>
      </c>
      <c r="E38" s="32">
        <f>C38/C72</f>
        <v>5.1571075206143333E-2</v>
      </c>
      <c r="F38" s="33">
        <f t="shared" si="9"/>
        <v>6.9517291066282425</v>
      </c>
      <c r="G38" s="34">
        <v>8260</v>
      </c>
      <c r="H38" s="35">
        <v>11382.84</v>
      </c>
      <c r="I38" s="28">
        <f>G38+H38</f>
        <v>19642.84</v>
      </c>
      <c r="J38" s="14">
        <f>I38-C38</f>
        <v>344.84000000000015</v>
      </c>
    </row>
    <row r="39" spans="1:11" x14ac:dyDescent="0.35">
      <c r="B39" s="30" t="s">
        <v>54</v>
      </c>
      <c r="C39" s="31">
        <v>13984</v>
      </c>
      <c r="D39" s="31" t="s">
        <v>12</v>
      </c>
      <c r="E39" s="32">
        <f>C39/C72</f>
        <v>3.7370189433242218E-2</v>
      </c>
      <c r="F39" s="33">
        <f t="shared" si="9"/>
        <v>5.0374639769452454</v>
      </c>
      <c r="G39" s="34">
        <v>15120</v>
      </c>
      <c r="H39" s="28">
        <v>0</v>
      </c>
      <c r="I39" s="28">
        <f>G39+H39</f>
        <v>15120</v>
      </c>
      <c r="J39" s="14">
        <f>I39-C39</f>
        <v>1136</v>
      </c>
    </row>
    <row r="40" spans="1:11" x14ac:dyDescent="0.35">
      <c r="B40" s="30" t="s">
        <v>55</v>
      </c>
      <c r="C40" s="31">
        <v>24100</v>
      </c>
      <c r="D40" s="31" t="s">
        <v>56</v>
      </c>
      <c r="E40" s="32">
        <f>C40/C72</f>
        <v>6.4403716057003541E-2</v>
      </c>
      <c r="F40" s="33">
        <f t="shared" si="9"/>
        <v>8.6815561959654186</v>
      </c>
      <c r="G40" s="34">
        <v>24467</v>
      </c>
      <c r="H40" s="28">
        <v>0</v>
      </c>
      <c r="I40" s="28">
        <f>G40+H40</f>
        <v>24467</v>
      </c>
      <c r="J40" s="14">
        <f>I40-C40</f>
        <v>367</v>
      </c>
    </row>
    <row r="41" spans="1:11" x14ac:dyDescent="0.35">
      <c r="B41" s="30" t="s">
        <v>57</v>
      </c>
      <c r="C41" s="31">
        <v>0</v>
      </c>
      <c r="D41" s="31" t="s">
        <v>58</v>
      </c>
      <c r="E41" s="32">
        <f>C41/C72</f>
        <v>0</v>
      </c>
      <c r="F41" s="33">
        <f t="shared" si="9"/>
        <v>0</v>
      </c>
      <c r="G41" s="34">
        <v>0</v>
      </c>
      <c r="H41" s="28">
        <f>C82*I41</f>
        <v>0</v>
      </c>
      <c r="I41" s="28">
        <v>0</v>
      </c>
      <c r="J41" s="14">
        <f t="shared" si="2"/>
        <v>0</v>
      </c>
    </row>
    <row r="42" spans="1:11" x14ac:dyDescent="0.35">
      <c r="B42" s="30" t="s">
        <v>59</v>
      </c>
      <c r="C42" s="31">
        <v>0</v>
      </c>
      <c r="D42" s="31" t="s">
        <v>53</v>
      </c>
      <c r="E42" s="32">
        <f>C42/C72</f>
        <v>0</v>
      </c>
      <c r="F42" s="33">
        <f t="shared" si="9"/>
        <v>0</v>
      </c>
      <c r="G42" s="34">
        <v>0</v>
      </c>
      <c r="H42" s="28">
        <v>0</v>
      </c>
      <c r="I42" s="28">
        <v>0</v>
      </c>
      <c r="J42" s="14">
        <f t="shared" si="2"/>
        <v>0</v>
      </c>
    </row>
    <row r="43" spans="1:11" x14ac:dyDescent="0.35">
      <c r="B43" s="4" t="s">
        <v>37</v>
      </c>
      <c r="C43" s="14">
        <v>0</v>
      </c>
      <c r="D43" s="22"/>
      <c r="E43" s="29">
        <f>C43/C72</f>
        <v>0</v>
      </c>
      <c r="F43" s="24">
        <f t="shared" si="9"/>
        <v>0</v>
      </c>
      <c r="G43" s="9">
        <v>0</v>
      </c>
      <c r="H43" s="6"/>
      <c r="I43" s="6">
        <v>0</v>
      </c>
      <c r="J43" s="14">
        <f t="shared" si="2"/>
        <v>0</v>
      </c>
    </row>
    <row r="44" spans="1:11" x14ac:dyDescent="0.35">
      <c r="A44" s="7" t="s">
        <v>60</v>
      </c>
      <c r="C44" s="14"/>
      <c r="D44" s="22"/>
      <c r="E44" s="23"/>
      <c r="F44" s="24"/>
      <c r="G44" s="9"/>
      <c r="H44" s="6"/>
      <c r="I44" s="6"/>
      <c r="J44" s="14"/>
    </row>
    <row r="45" spans="1:11" x14ac:dyDescent="0.35">
      <c r="C45" s="8">
        <f>SUM(C46:C61)</f>
        <v>66831.510000000009</v>
      </c>
      <c r="D45" s="9"/>
      <c r="E45" s="10">
        <f>C45/C72</f>
        <v>0.17859741052700387</v>
      </c>
      <c r="F45" s="11">
        <f t="shared" ref="F45:F61" si="10">C45/2776</f>
        <v>24.074751440922192</v>
      </c>
      <c r="H45" s="12"/>
      <c r="I45" s="12">
        <f>SUM(I46:I61)</f>
        <v>68264.040000000008</v>
      </c>
      <c r="J45" s="13">
        <f>SUM(J46:J60)</f>
        <v>1432.7299999999996</v>
      </c>
      <c r="K45" s="14">
        <f>J49+J52+J53+J56+J59+J60</f>
        <v>1745</v>
      </c>
    </row>
    <row r="46" spans="1:11" x14ac:dyDescent="0.35">
      <c r="B46" s="30" t="s">
        <v>61</v>
      </c>
      <c r="C46" s="31">
        <v>6925</v>
      </c>
      <c r="D46" s="31" t="s">
        <v>62</v>
      </c>
      <c r="E46" s="32">
        <f>C46/C72</f>
        <v>1.8506047041275914E-2</v>
      </c>
      <c r="F46" s="33">
        <f t="shared" si="10"/>
        <v>2.4945965417867435</v>
      </c>
      <c r="G46" s="34">
        <v>6925</v>
      </c>
      <c r="H46" s="28">
        <v>0</v>
      </c>
      <c r="I46" s="28">
        <f>G46+H46</f>
        <v>6925</v>
      </c>
      <c r="J46" s="31">
        <f t="shared" ref="J46:J53" si="11">I46-C46</f>
        <v>0</v>
      </c>
      <c r="K46" s="14">
        <f>J48+J51+J54+J55+J57+J58</f>
        <v>-312.27000000000032</v>
      </c>
    </row>
    <row r="47" spans="1:11" x14ac:dyDescent="0.35">
      <c r="B47" s="30" t="s">
        <v>63</v>
      </c>
      <c r="C47" s="31">
        <v>16475</v>
      </c>
      <c r="D47" s="31" t="s">
        <v>64</v>
      </c>
      <c r="E47" s="32">
        <f>C47/C72</f>
        <v>4.4027021661374829E-2</v>
      </c>
      <c r="F47" s="33">
        <f t="shared" si="10"/>
        <v>5.9347982708933715</v>
      </c>
      <c r="G47" s="34">
        <v>16475</v>
      </c>
      <c r="H47" s="28">
        <v>0</v>
      </c>
      <c r="I47" s="28">
        <f>G47+H47</f>
        <v>16475</v>
      </c>
      <c r="J47" s="31">
        <f t="shared" si="11"/>
        <v>0</v>
      </c>
    </row>
    <row r="48" spans="1:11" x14ac:dyDescent="0.35">
      <c r="B48" s="30" t="s">
        <v>65</v>
      </c>
      <c r="C48" s="31">
        <v>4263.8900000000003</v>
      </c>
      <c r="D48" s="31" t="s">
        <v>66</v>
      </c>
      <c r="E48" s="32">
        <f>C48/C72</f>
        <v>1.1394620782501945E-2</v>
      </c>
      <c r="F48" s="33">
        <f>C48/2776</f>
        <v>1.5359834293948127</v>
      </c>
      <c r="G48" s="34">
        <v>4264</v>
      </c>
      <c r="H48" s="28">
        <v>0</v>
      </c>
      <c r="I48" s="28">
        <f>G48+H48</f>
        <v>4264</v>
      </c>
      <c r="J48" s="31">
        <f t="shared" si="11"/>
        <v>0.10999999999967258</v>
      </c>
    </row>
    <row r="49" spans="1:13" x14ac:dyDescent="0.35">
      <c r="B49" s="30" t="s">
        <v>67</v>
      </c>
      <c r="C49" s="31">
        <v>1500</v>
      </c>
      <c r="D49" s="31" t="s">
        <v>68</v>
      </c>
      <c r="E49" s="32">
        <f>C49/C72</f>
        <v>4.008530045041714E-3</v>
      </c>
      <c r="F49" s="33">
        <f t="shared" si="10"/>
        <v>0.54034582132564846</v>
      </c>
      <c r="G49" s="34">
        <v>1636</v>
      </c>
      <c r="H49" s="28">
        <v>0</v>
      </c>
      <c r="I49" s="28">
        <f t="shared" ref="I49:I53" si="12">G49+H49</f>
        <v>1636</v>
      </c>
      <c r="J49" s="31">
        <f t="shared" si="11"/>
        <v>136</v>
      </c>
    </row>
    <row r="50" spans="1:13" x14ac:dyDescent="0.35">
      <c r="B50" s="30" t="s">
        <v>69</v>
      </c>
      <c r="C50" s="31">
        <v>725</v>
      </c>
      <c r="D50" s="31" t="s">
        <v>68</v>
      </c>
      <c r="E50" s="32">
        <f>C50/C72</f>
        <v>1.9374561884368286E-3</v>
      </c>
      <c r="F50" s="33">
        <f t="shared" si="10"/>
        <v>0.2611671469740634</v>
      </c>
      <c r="G50" s="34">
        <v>725</v>
      </c>
      <c r="H50" s="28">
        <v>0</v>
      </c>
      <c r="I50" s="28">
        <f t="shared" si="12"/>
        <v>725</v>
      </c>
      <c r="J50" s="31">
        <f t="shared" si="11"/>
        <v>0</v>
      </c>
    </row>
    <row r="51" spans="1:13" x14ac:dyDescent="0.35">
      <c r="B51" s="30" t="s">
        <v>70</v>
      </c>
      <c r="C51" s="31">
        <f>10500+800+2919</f>
        <v>14219</v>
      </c>
      <c r="D51" s="31" t="s">
        <v>71</v>
      </c>
      <c r="E51" s="32">
        <f>C51/C72</f>
        <v>3.7998192473632092E-2</v>
      </c>
      <c r="F51" s="33">
        <f t="shared" si="10"/>
        <v>5.1221181556195967</v>
      </c>
      <c r="G51" s="34">
        <v>14997</v>
      </c>
      <c r="H51" s="28">
        <v>0</v>
      </c>
      <c r="I51" s="28">
        <f t="shared" si="12"/>
        <v>14997</v>
      </c>
      <c r="J51" s="31">
        <f t="shared" si="11"/>
        <v>778</v>
      </c>
    </row>
    <row r="52" spans="1:13" x14ac:dyDescent="0.35">
      <c r="B52" s="30" t="s">
        <v>72</v>
      </c>
      <c r="C52" s="31">
        <v>3116</v>
      </c>
      <c r="D52" s="31" t="s">
        <v>73</v>
      </c>
      <c r="E52" s="32">
        <f>C52/C72</f>
        <v>8.3270530802333209E-3</v>
      </c>
      <c r="F52" s="33">
        <f>C52/2776</f>
        <v>1.122478386167147</v>
      </c>
      <c r="G52" s="34">
        <v>3274</v>
      </c>
      <c r="H52" s="28">
        <v>0</v>
      </c>
      <c r="I52" s="28">
        <f t="shared" si="12"/>
        <v>3274</v>
      </c>
      <c r="J52" s="31">
        <f t="shared" si="11"/>
        <v>158</v>
      </c>
      <c r="K52" s="14"/>
      <c r="M52" s="14"/>
    </row>
    <row r="53" spans="1:13" x14ac:dyDescent="0.35">
      <c r="B53" s="30" t="s">
        <v>74</v>
      </c>
      <c r="C53" s="31">
        <v>1000</v>
      </c>
      <c r="D53" s="31" t="s">
        <v>68</v>
      </c>
      <c r="E53" s="32">
        <f>C53/C72</f>
        <v>2.672353363361143E-3</v>
      </c>
      <c r="F53" s="33">
        <f>C53/2776</f>
        <v>0.36023054755043227</v>
      </c>
      <c r="G53" s="34">
        <v>1669</v>
      </c>
      <c r="H53" s="28">
        <v>0</v>
      </c>
      <c r="I53" s="28">
        <f t="shared" si="12"/>
        <v>1669</v>
      </c>
      <c r="J53" s="31">
        <f t="shared" si="11"/>
        <v>669</v>
      </c>
    </row>
    <row r="54" spans="1:13" x14ac:dyDescent="0.35">
      <c r="B54" s="30" t="s">
        <v>75</v>
      </c>
      <c r="C54" s="31">
        <v>1000</v>
      </c>
      <c r="D54" s="31" t="s">
        <v>68</v>
      </c>
      <c r="E54" s="32">
        <f>C54/C72</f>
        <v>2.672353363361143E-3</v>
      </c>
      <c r="F54" s="33">
        <f>C54/2776</f>
        <v>0.36023054755043227</v>
      </c>
      <c r="G54" s="34">
        <v>0</v>
      </c>
      <c r="H54" s="28">
        <f>C84*I54</f>
        <v>0</v>
      </c>
      <c r="I54" s="28">
        <v>0</v>
      </c>
      <c r="J54" s="31">
        <f t="shared" si="2"/>
        <v>-1000</v>
      </c>
    </row>
    <row r="55" spans="1:13" x14ac:dyDescent="0.35">
      <c r="B55" s="30" t="s">
        <v>76</v>
      </c>
      <c r="C55" s="31">
        <v>500.12</v>
      </c>
      <c r="D55" s="31" t="s">
        <v>66</v>
      </c>
      <c r="E55" s="32">
        <f>C55/C72</f>
        <v>1.3364973640841748E-3</v>
      </c>
      <c r="F55" s="33">
        <f>C55/2776</f>
        <v>0.18015850144092219</v>
      </c>
      <c r="G55" s="34">
        <v>500</v>
      </c>
      <c r="H55" s="28">
        <v>0</v>
      </c>
      <c r="I55" s="28">
        <f>G55+H55</f>
        <v>500</v>
      </c>
      <c r="J55" s="31">
        <f>C55-I55</f>
        <v>0.12000000000000455</v>
      </c>
    </row>
    <row r="56" spans="1:13" x14ac:dyDescent="0.35">
      <c r="B56" s="4" t="s">
        <v>77</v>
      </c>
      <c r="C56" s="36">
        <v>0</v>
      </c>
      <c r="D56" s="37" t="s">
        <v>68</v>
      </c>
      <c r="E56" s="29">
        <f>C56/C72</f>
        <v>0</v>
      </c>
      <c r="F56" s="24">
        <f>C56/2776</f>
        <v>0</v>
      </c>
      <c r="G56" s="9">
        <v>0</v>
      </c>
      <c r="H56" s="28">
        <v>0</v>
      </c>
      <c r="I56" s="28">
        <v>0.04</v>
      </c>
      <c r="J56" s="14">
        <f t="shared" si="2"/>
        <v>0</v>
      </c>
    </row>
    <row r="57" spans="1:13" x14ac:dyDescent="0.35">
      <c r="B57" s="30" t="s">
        <v>78</v>
      </c>
      <c r="C57" s="31">
        <v>4000</v>
      </c>
      <c r="D57" s="31" t="s">
        <v>68</v>
      </c>
      <c r="E57" s="32">
        <f>C57/C72</f>
        <v>1.0689413453444572E-2</v>
      </c>
      <c r="F57" s="33">
        <f t="shared" si="10"/>
        <v>1.4409221902017291</v>
      </c>
      <c r="G57" s="34">
        <v>3909</v>
      </c>
      <c r="H57" s="28">
        <v>0</v>
      </c>
      <c r="I57" s="28">
        <f>G57+H57</f>
        <v>3909</v>
      </c>
      <c r="J57" s="31">
        <f>I57-C57</f>
        <v>-91</v>
      </c>
    </row>
    <row r="58" spans="1:13" x14ac:dyDescent="0.35">
      <c r="B58" s="30" t="s">
        <v>79</v>
      </c>
      <c r="C58" s="31">
        <v>9407.5</v>
      </c>
      <c r="D58" s="31" t="s">
        <v>66</v>
      </c>
      <c r="E58" s="32">
        <f>C58/C72</f>
        <v>2.5140164265819949E-2</v>
      </c>
      <c r="F58" s="33">
        <f t="shared" si="10"/>
        <v>3.3888688760806915</v>
      </c>
      <c r="G58" s="34">
        <v>9408</v>
      </c>
      <c r="H58" s="28">
        <v>0</v>
      </c>
      <c r="I58" s="28">
        <f>G58+H58</f>
        <v>9408</v>
      </c>
      <c r="J58" s="31">
        <f>I58-C58</f>
        <v>0.5</v>
      </c>
    </row>
    <row r="59" spans="1:13" x14ac:dyDescent="0.35">
      <c r="B59" s="30" t="s">
        <v>80</v>
      </c>
      <c r="C59" s="31">
        <v>2200</v>
      </c>
      <c r="D59" s="31" t="s">
        <v>68</v>
      </c>
      <c r="E59" s="32">
        <f>C59/C72</f>
        <v>5.8791773993945142E-3</v>
      </c>
      <c r="F59" s="33">
        <f t="shared" si="10"/>
        <v>0.79250720461095103</v>
      </c>
      <c r="G59" s="34">
        <v>2619</v>
      </c>
      <c r="H59" s="28">
        <v>0</v>
      </c>
      <c r="I59" s="28">
        <f>G59+H59</f>
        <v>2619</v>
      </c>
      <c r="J59" s="31">
        <f>I59-C59</f>
        <v>419</v>
      </c>
    </row>
    <row r="60" spans="1:13" x14ac:dyDescent="0.35">
      <c r="B60" s="30" t="s">
        <v>81</v>
      </c>
      <c r="C60" s="31">
        <v>1500</v>
      </c>
      <c r="D60" s="31"/>
      <c r="E60" s="32">
        <f>C60/C72</f>
        <v>4.008530045041714E-3</v>
      </c>
      <c r="F60" s="33">
        <f t="shared" si="10"/>
        <v>0.54034582132564846</v>
      </c>
      <c r="G60" s="34">
        <v>1863</v>
      </c>
      <c r="H60" s="28">
        <v>0</v>
      </c>
      <c r="I60" s="28">
        <f>G60+H60</f>
        <v>1863</v>
      </c>
      <c r="J60" s="14">
        <f>I60-C60</f>
        <v>363</v>
      </c>
    </row>
    <row r="61" spans="1:13" x14ac:dyDescent="0.35">
      <c r="B61" s="4" t="s">
        <v>37</v>
      </c>
      <c r="C61" s="14">
        <v>0</v>
      </c>
      <c r="D61" s="22"/>
      <c r="E61" s="29">
        <f>C61/C72</f>
        <v>0</v>
      </c>
      <c r="F61" s="24">
        <f t="shared" si="10"/>
        <v>0</v>
      </c>
      <c r="G61" s="9">
        <v>0</v>
      </c>
      <c r="H61" s="6"/>
      <c r="I61" s="28"/>
      <c r="J61" s="14">
        <f t="shared" si="2"/>
        <v>0</v>
      </c>
    </row>
    <row r="62" spans="1:13" x14ac:dyDescent="0.35">
      <c r="C62" s="14"/>
      <c r="D62" s="22"/>
      <c r="E62" s="23"/>
      <c r="F62" s="24"/>
      <c r="G62" s="7"/>
      <c r="H62" s="12"/>
      <c r="I62" s="28"/>
      <c r="J62" s="14">
        <f t="shared" si="2"/>
        <v>0</v>
      </c>
    </row>
    <row r="63" spans="1:13" x14ac:dyDescent="0.35">
      <c r="C63" s="8">
        <f>SUM(C64:C68)</f>
        <v>24083</v>
      </c>
      <c r="D63" s="9"/>
      <c r="E63" s="10">
        <f>C63/C72</f>
        <v>6.4358286049826408E-2</v>
      </c>
      <c r="F63" s="11">
        <f t="shared" ref="F63:F68" si="13">C63/2776</f>
        <v>8.6754322766570606</v>
      </c>
      <c r="H63" s="28"/>
      <c r="I63" s="12">
        <f>SUM(I64:I68)</f>
        <v>28669</v>
      </c>
      <c r="J63" s="13">
        <f>SUM(J64:J68)</f>
        <v>4586</v>
      </c>
    </row>
    <row r="64" spans="1:13" x14ac:dyDescent="0.35">
      <c r="A64" s="4" t="s">
        <v>82</v>
      </c>
      <c r="B64" s="30" t="s">
        <v>83</v>
      </c>
      <c r="C64" s="31">
        <v>1000</v>
      </c>
      <c r="D64" s="31" t="s">
        <v>68</v>
      </c>
      <c r="E64" s="32">
        <f>C64/C72</f>
        <v>2.672353363361143E-3</v>
      </c>
      <c r="F64" s="33">
        <f t="shared" si="13"/>
        <v>0.36023054755043227</v>
      </c>
      <c r="G64" s="34">
        <v>2658</v>
      </c>
      <c r="H64" s="28">
        <v>0</v>
      </c>
      <c r="I64" s="28">
        <f>G64+H64</f>
        <v>2658</v>
      </c>
      <c r="J64" s="31">
        <f t="shared" si="2"/>
        <v>1658</v>
      </c>
    </row>
    <row r="65" spans="1:11" x14ac:dyDescent="0.35">
      <c r="B65" s="30" t="s">
        <v>84</v>
      </c>
      <c r="C65" s="31">
        <v>2562</v>
      </c>
      <c r="D65" s="31" t="s">
        <v>68</v>
      </c>
      <c r="E65" s="32">
        <f>C65/C72</f>
        <v>6.846569316931248E-3</v>
      </c>
      <c r="F65" s="33">
        <f t="shared" si="13"/>
        <v>0.92291066282420753</v>
      </c>
      <c r="G65" s="34">
        <v>3911</v>
      </c>
      <c r="H65" s="28">
        <v>0</v>
      </c>
      <c r="I65" s="28">
        <f>G65+H65</f>
        <v>3911</v>
      </c>
      <c r="J65" s="31">
        <f t="shared" si="2"/>
        <v>1349</v>
      </c>
    </row>
    <row r="66" spans="1:11" x14ac:dyDescent="0.35">
      <c r="B66" s="38" t="s">
        <v>85</v>
      </c>
      <c r="C66" s="31">
        <v>18900</v>
      </c>
      <c r="D66" s="31" t="s">
        <v>21</v>
      </c>
      <c r="E66" s="32">
        <f>C66/C72</f>
        <v>5.0507478567525597E-2</v>
      </c>
      <c r="F66" s="33">
        <f t="shared" si="13"/>
        <v>6.8083573487031703</v>
      </c>
      <c r="G66" s="34">
        <v>5300</v>
      </c>
      <c r="H66" s="28">
        <v>15600</v>
      </c>
      <c r="I66" s="28">
        <f>G66+H66</f>
        <v>20900</v>
      </c>
      <c r="J66" s="31">
        <f>I66-C66</f>
        <v>2000</v>
      </c>
    </row>
    <row r="67" spans="1:11" x14ac:dyDescent="0.35">
      <c r="B67" s="30" t="s">
        <v>86</v>
      </c>
      <c r="C67" s="31">
        <v>1621</v>
      </c>
      <c r="D67" s="31" t="s">
        <v>68</v>
      </c>
      <c r="E67" s="32">
        <f>C67/C72</f>
        <v>4.3318848020084122E-3</v>
      </c>
      <c r="F67" s="33">
        <f t="shared" si="13"/>
        <v>0.58393371757925072</v>
      </c>
      <c r="G67" s="34">
        <v>1200</v>
      </c>
      <c r="H67" s="28">
        <v>0</v>
      </c>
      <c r="I67" s="28">
        <f>G67+H67</f>
        <v>1200</v>
      </c>
      <c r="J67" s="31">
        <f>I67-C67</f>
        <v>-421</v>
      </c>
    </row>
    <row r="68" spans="1:11" x14ac:dyDescent="0.35">
      <c r="B68" s="30" t="s">
        <v>37</v>
      </c>
      <c r="C68" s="31">
        <v>0</v>
      </c>
      <c r="D68" s="31"/>
      <c r="E68" s="32">
        <f>C68/C72</f>
        <v>0</v>
      </c>
      <c r="F68" s="33">
        <f t="shared" si="13"/>
        <v>0</v>
      </c>
      <c r="G68" s="34"/>
      <c r="H68" s="6"/>
      <c r="I68" s="28"/>
      <c r="J68" s="31">
        <f t="shared" si="2"/>
        <v>0</v>
      </c>
    </row>
    <row r="69" spans="1:11" x14ac:dyDescent="0.35">
      <c r="C69" s="14"/>
      <c r="D69" s="22"/>
      <c r="E69" s="23"/>
      <c r="F69" s="24"/>
      <c r="G69" s="9"/>
      <c r="H69" s="6"/>
      <c r="I69" s="28"/>
    </row>
    <row r="70" spans="1:11" x14ac:dyDescent="0.35">
      <c r="B70" s="4" t="s">
        <v>87</v>
      </c>
      <c r="C70" s="36">
        <v>2500</v>
      </c>
      <c r="D70" s="9"/>
      <c r="E70" s="10">
        <f>C70/C72</f>
        <v>6.680883408402857E-3</v>
      </c>
      <c r="F70" s="11">
        <f>C70/1911</f>
        <v>1.3082155939298796</v>
      </c>
      <c r="G70" s="9">
        <v>2831</v>
      </c>
      <c r="H70" s="28">
        <v>0</v>
      </c>
      <c r="I70" s="28">
        <f>G70+H70</f>
        <v>2831</v>
      </c>
      <c r="J70" s="14">
        <f>I70-C70</f>
        <v>331</v>
      </c>
    </row>
    <row r="71" spans="1:11" x14ac:dyDescent="0.35">
      <c r="A71" s="4" t="s">
        <v>88</v>
      </c>
      <c r="C71" s="14"/>
      <c r="D71" s="22"/>
      <c r="E71" s="23"/>
      <c r="F71" s="24"/>
      <c r="G71" s="9"/>
      <c r="H71" s="6"/>
      <c r="I71" s="28"/>
    </row>
    <row r="72" spans="1:11" x14ac:dyDescent="0.35">
      <c r="B72" s="4" t="s">
        <v>89</v>
      </c>
      <c r="C72" s="8">
        <f>C3+C10+C19+C28+C37+C45+C63+C70</f>
        <v>374202.01</v>
      </c>
      <c r="D72" s="9"/>
      <c r="E72" s="23"/>
      <c r="F72" s="39">
        <f>C72/1911</f>
        <v>195.81476190476192</v>
      </c>
      <c r="G72" s="9">
        <f>SUM(G4:G71)</f>
        <v>343169.38199999998</v>
      </c>
      <c r="H72" s="28">
        <v>0</v>
      </c>
      <c r="I72" s="28"/>
    </row>
    <row r="73" spans="1:11" x14ac:dyDescent="0.35">
      <c r="C73" s="14"/>
      <c r="D73" s="22"/>
      <c r="E73" s="23"/>
      <c r="F73" s="24"/>
      <c r="H73" s="6"/>
      <c r="I73" s="28"/>
    </row>
    <row r="74" spans="1:11" x14ac:dyDescent="0.35">
      <c r="B74" s="4" t="s">
        <v>90</v>
      </c>
      <c r="C74" s="39">
        <f>C72/1911</f>
        <v>195.81476190476192</v>
      </c>
      <c r="D74" s="40"/>
      <c r="E74" s="23"/>
      <c r="F74" s="24"/>
      <c r="H74" s="6"/>
      <c r="I74" s="28"/>
    </row>
    <row r="75" spans="1:11" x14ac:dyDescent="0.35">
      <c r="C75" s="14"/>
      <c r="D75" s="22"/>
      <c r="E75" s="23"/>
      <c r="F75" s="24"/>
      <c r="H75" s="41">
        <f>SUM(H4:H74)</f>
        <v>44735.240000000005</v>
      </c>
      <c r="I75" s="35">
        <f>SUM(I63+I45+I37+I28+I19+I10+I3)</f>
        <v>385073.66200000001</v>
      </c>
    </row>
    <row r="76" spans="1:11" x14ac:dyDescent="0.35">
      <c r="B76" s="4" t="s">
        <v>91</v>
      </c>
      <c r="C76" s="14">
        <v>0</v>
      </c>
      <c r="D76" s="22"/>
      <c r="E76" s="23">
        <f>C76/C81</f>
        <v>0</v>
      </c>
      <c r="F76" s="24">
        <f>C76/2776</f>
        <v>0</v>
      </c>
      <c r="H76" s="14"/>
      <c r="J76" s="14"/>
    </row>
    <row r="77" spans="1:11" x14ac:dyDescent="0.35">
      <c r="A77" s="4" t="s">
        <v>92</v>
      </c>
      <c r="B77" s="4" t="s">
        <v>93</v>
      </c>
      <c r="C77" s="14">
        <v>4000</v>
      </c>
      <c r="D77" s="22"/>
      <c r="E77" s="23">
        <f>C77/C81</f>
        <v>1.0576358385826665E-2</v>
      </c>
      <c r="F77" s="24">
        <f>C77/2776</f>
        <v>1.4409221902017291</v>
      </c>
      <c r="G77" s="39">
        <f>165+262+676+784+499+507.27</f>
        <v>2893.27</v>
      </c>
      <c r="I77" t="s">
        <v>94</v>
      </c>
    </row>
    <row r="78" spans="1:11" x14ac:dyDescent="0.35">
      <c r="B78" s="4" t="s">
        <v>95</v>
      </c>
      <c r="C78" s="14">
        <v>0</v>
      </c>
      <c r="D78" s="22"/>
      <c r="E78" s="23">
        <f>C78/C81</f>
        <v>0</v>
      </c>
      <c r="F78" s="24">
        <f>C78/2776</f>
        <v>0</v>
      </c>
      <c r="J78" t="s">
        <v>96</v>
      </c>
      <c r="K78" s="14">
        <v>0</v>
      </c>
    </row>
    <row r="79" spans="1:11" x14ac:dyDescent="0.35">
      <c r="B79" s="4" t="s">
        <v>97</v>
      </c>
      <c r="C79" s="14">
        <v>0</v>
      </c>
      <c r="D79" s="22"/>
      <c r="E79" s="23">
        <f>C79/C81</f>
        <v>0</v>
      </c>
      <c r="F79" s="24">
        <f>C79/2776</f>
        <v>0</v>
      </c>
      <c r="J79" t="s">
        <v>98</v>
      </c>
      <c r="K79" s="14">
        <v>0</v>
      </c>
    </row>
    <row r="80" spans="1:11" x14ac:dyDescent="0.35">
      <c r="B80" s="4" t="s">
        <v>99</v>
      </c>
      <c r="C80" s="14">
        <v>0</v>
      </c>
      <c r="D80" s="22"/>
      <c r="E80" s="23">
        <f>C80/C81</f>
        <v>0</v>
      </c>
      <c r="F80" s="24">
        <f>C80/2776</f>
        <v>0</v>
      </c>
      <c r="J80" t="s">
        <v>100</v>
      </c>
      <c r="K80" s="14">
        <v>0</v>
      </c>
    </row>
    <row r="81" spans="2:11" x14ac:dyDescent="0.35">
      <c r="B81" s="7" t="s">
        <v>101</v>
      </c>
      <c r="C81" s="8">
        <f>C72+C76+C77+C78+C79+C80</f>
        <v>378202.01</v>
      </c>
      <c r="D81" s="9"/>
      <c r="E81" s="42">
        <f>SUM(E76:E80)</f>
        <v>1.0576358385826665E-2</v>
      </c>
      <c r="F81" s="39">
        <f>C81/1911</f>
        <v>197.90790685504973</v>
      </c>
      <c r="J81" t="s">
        <v>102</v>
      </c>
      <c r="K81" s="14">
        <v>0</v>
      </c>
    </row>
    <row r="82" spans="2:11" x14ac:dyDescent="0.35">
      <c r="C82" s="14"/>
      <c r="D82" s="22"/>
      <c r="J82" t="s">
        <v>103</v>
      </c>
      <c r="K82" s="14">
        <v>0</v>
      </c>
    </row>
    <row r="83" spans="2:11" x14ac:dyDescent="0.35">
      <c r="B83" s="4" t="s">
        <v>104</v>
      </c>
      <c r="C83" s="39">
        <f>C81/1911</f>
        <v>197.90790685504973</v>
      </c>
      <c r="D83" s="40"/>
      <c r="J83" t="s">
        <v>105</v>
      </c>
      <c r="K83" s="14">
        <v>0</v>
      </c>
    </row>
    <row r="84" spans="2:11" x14ac:dyDescent="0.35">
      <c r="B84" s="4" t="s">
        <v>106</v>
      </c>
      <c r="C84" s="14">
        <f>C49+C50+C64+C65+C67+C68</f>
        <v>7408</v>
      </c>
      <c r="D84" s="22"/>
      <c r="J84" t="s">
        <v>107</v>
      </c>
      <c r="K84" s="14">
        <v>0</v>
      </c>
    </row>
    <row r="85" spans="2:11" x14ac:dyDescent="0.35">
      <c r="I85" s="8">
        <f>I75+G77</f>
        <v>387966.93200000003</v>
      </c>
      <c r="K85" s="14">
        <f>SUM(K78:K84)</f>
        <v>0</v>
      </c>
    </row>
    <row r="86" spans="2:11" x14ac:dyDescent="0.35">
      <c r="B86" t="s">
        <v>108</v>
      </c>
      <c r="C86" s="14">
        <v>350000</v>
      </c>
      <c r="D86" s="22"/>
    </row>
    <row r="87" spans="2:11" x14ac:dyDescent="0.35">
      <c r="B87" s="4" t="s">
        <v>109</v>
      </c>
      <c r="C87" s="14">
        <f>C86-C81</f>
        <v>-28202.010000000009</v>
      </c>
      <c r="D87" s="22"/>
      <c r="J87" t="s">
        <v>110</v>
      </c>
      <c r="K87">
        <v>30000</v>
      </c>
    </row>
    <row r="88" spans="2:11" x14ac:dyDescent="0.35">
      <c r="B88" t="s">
        <v>111</v>
      </c>
      <c r="C88" s="8">
        <f>C49+C50+C53+C56+C57+C59+C64+C65+C67+C7+C8+C52</f>
        <v>20300</v>
      </c>
      <c r="J88" t="s">
        <v>112</v>
      </c>
      <c r="K88">
        <v>35000</v>
      </c>
    </row>
    <row r="89" spans="2:11" x14ac:dyDescent="0.35">
      <c r="B89" t="s">
        <v>113</v>
      </c>
      <c r="C89" s="8">
        <f>G50+G7+G4</f>
        <v>7694.3819999999996</v>
      </c>
      <c r="J89" t="s">
        <v>114</v>
      </c>
      <c r="K89">
        <v>5000</v>
      </c>
    </row>
    <row r="90" spans="2:11" x14ac:dyDescent="0.35">
      <c r="C90" s="8"/>
      <c r="K90">
        <f>SUM(K87:K89)</f>
        <v>70000</v>
      </c>
    </row>
    <row r="91" spans="2:11" x14ac:dyDescent="0.35">
      <c r="B91" t="s">
        <v>115</v>
      </c>
      <c r="C91" s="14">
        <f>C81/0.8</f>
        <v>472752.51250000001</v>
      </c>
      <c r="D91" s="43">
        <v>0.8</v>
      </c>
      <c r="E91">
        <f>8546+2638+40852</f>
        <v>52036</v>
      </c>
      <c r="K91">
        <f>15*12</f>
        <v>180</v>
      </c>
    </row>
    <row r="92" spans="2:11" x14ac:dyDescent="0.35">
      <c r="C92" s="14">
        <f>C81/0.85</f>
        <v>444943.54117647064</v>
      </c>
      <c r="D92" s="43">
        <v>0.85</v>
      </c>
      <c r="E92">
        <f>6149+5678</f>
        <v>11827</v>
      </c>
      <c r="K92">
        <f>K91/5.5</f>
        <v>32.727272727272727</v>
      </c>
    </row>
    <row r="93" spans="2:11" x14ac:dyDescent="0.35">
      <c r="B93" s="7" t="s">
        <v>116</v>
      </c>
      <c r="C93" s="8">
        <f>(8400+C40)*0.26</f>
        <v>8450</v>
      </c>
      <c r="E93">
        <f>E91-E92</f>
        <v>40209</v>
      </c>
    </row>
    <row r="94" spans="2:11" x14ac:dyDescent="0.35">
      <c r="H94" t="s">
        <v>117</v>
      </c>
    </row>
    <row r="95" spans="2:11" x14ac:dyDescent="0.35">
      <c r="C95" s="24"/>
      <c r="H95" t="s">
        <v>118</v>
      </c>
      <c r="I95" s="14">
        <f>I40</f>
        <v>24467</v>
      </c>
    </row>
    <row r="96" spans="2:11" x14ac:dyDescent="0.35">
      <c r="H96" t="s">
        <v>119</v>
      </c>
      <c r="I96">
        <v>8505.75</v>
      </c>
    </row>
    <row r="97" spans="8:9" x14ac:dyDescent="0.35">
      <c r="I97" s="14">
        <f>SUM(I95:I96)</f>
        <v>32972.75</v>
      </c>
    </row>
    <row r="98" spans="8:9" x14ac:dyDescent="0.35">
      <c r="H98" t="s">
        <v>120</v>
      </c>
      <c r="I98" s="24">
        <f>I97*0.26</f>
        <v>8572.9150000000009</v>
      </c>
    </row>
  </sheetData>
  <mergeCells count="1">
    <mergeCell ref="C1:F1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Douglas-Omaha Technology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Dean (OCVB)</dc:creator>
  <cp:lastModifiedBy>Miller, Dean (OCVB)</cp:lastModifiedBy>
  <cp:lastPrinted>2021-02-19T19:12:24Z</cp:lastPrinted>
  <dcterms:created xsi:type="dcterms:W3CDTF">2021-02-19T19:03:19Z</dcterms:created>
  <dcterms:modified xsi:type="dcterms:W3CDTF">2021-02-19T19:27:05Z</dcterms:modified>
</cp:coreProperties>
</file>